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843"/>
  </bookViews>
  <sheets>
    <sheet name="РЕЙТИНГ КАФ ТА ФАК" sheetId="14" r:id="rId1"/>
    <sheet name="РЕЙТИНГ ПОРІВНЯЛЬНИЙ" sheetId="20" r:id="rId2"/>
    <sheet name="2.1. Інд. ефект.видавн. діял." sheetId="1" r:id="rId3"/>
    <sheet name="2.2. Інд.якості НПП" sheetId="2" r:id="rId4"/>
    <sheet name="2.3.Якість осв пр" sheetId="15" r:id="rId5"/>
    <sheet name="2.3.1 І як.освіт.проц. " sheetId="3" r:id="rId6"/>
    <sheet name="2.3.2 І д.з." sheetId="10" r:id="rId7"/>
    <sheet name="2.3.3. І студ." sheetId="11" r:id="rId8"/>
    <sheet name="2.3.4. І пл." sheetId="12" r:id="rId9"/>
    <sheet name="2.3.5. І я.п.ф." sheetId="13" r:id="rId10"/>
    <sheet name="2.4. І як.наукової роботи" sheetId="4" r:id="rId11"/>
    <sheet name="2.5. І. між.ак." sheetId="5" r:id="rId12"/>
    <sheet name="2.6.-2.6.1. І фін.активність" sheetId="6" r:id="rId13"/>
    <sheet name="2.6.2. І фін наук діяльності" sheetId="7" r:id="rId14"/>
    <sheet name="2.7. І вебометричних показн." sheetId="8" r:id="rId15"/>
    <sheet name="2.8. І к-м.спорт роб." sheetId="9" r:id="rId16"/>
  </sheets>
  <definedNames>
    <definedName name="_GoBack" localSheetId="14">'2.7. І вебометричних показн.'!$I$2</definedName>
    <definedName name="_xlnm.Print_Area" localSheetId="5">'2.3.1 І як.освіт.проц. '!$A$1:$E$35</definedName>
    <definedName name="_xlnm.Print_Area" localSheetId="6">'2.3.2 І д.з.'!$A$1:$I$35</definedName>
    <definedName name="_xlnm.Print_Area" localSheetId="7">'2.3.3. І студ.'!$A$1:$E$37</definedName>
    <definedName name="_xlnm.Print_Area" localSheetId="8">'2.3.4. І пл.'!$A$1:$F$36</definedName>
    <definedName name="_xlnm.Print_Area" localSheetId="0">'РЕЙТИНГ КАФ ТА ФАК'!$A$1:$L$44</definedName>
    <definedName name="_xlnm.Print_Area" localSheetId="1">'РЕЙТИНГ ПОРІВНЯЛЬНИЙ'!$A$1:$K$44</definedName>
  </definedNames>
  <calcPr calcId="124519"/>
</workbook>
</file>

<file path=xl/calcChain.xml><?xml version="1.0" encoding="utf-8"?>
<calcChain xmlns="http://schemas.openxmlformats.org/spreadsheetml/2006/main">
  <c r="C34" i="6"/>
  <c r="C28" i="13" l="1"/>
  <c r="E28"/>
  <c r="F28"/>
  <c r="H27" i="15"/>
  <c r="C15" i="3"/>
  <c r="C18"/>
  <c r="C9"/>
  <c r="C13"/>
  <c r="C4"/>
  <c r="C12"/>
  <c r="C14"/>
  <c r="C20"/>
  <c r="C19"/>
  <c r="C17"/>
  <c r="C25"/>
  <c r="C23"/>
  <c r="C7"/>
  <c r="E17" i="12" l="1"/>
  <c r="E18"/>
  <c r="E10"/>
  <c r="E19"/>
  <c r="E8"/>
  <c r="E12"/>
  <c r="C10"/>
  <c r="C19"/>
  <c r="F21"/>
  <c r="C8"/>
  <c r="C12"/>
  <c r="C17"/>
  <c r="D19"/>
  <c r="D18"/>
  <c r="D27"/>
  <c r="D8"/>
  <c r="D10"/>
  <c r="D12"/>
  <c r="D17"/>
  <c r="D29" l="1"/>
  <c r="E29"/>
  <c r="C29"/>
  <c r="D17" i="11"/>
  <c r="E23" i="7"/>
  <c r="E24"/>
  <c r="E4"/>
  <c r="E21"/>
  <c r="E25"/>
  <c r="E26"/>
  <c r="E10"/>
  <c r="E7"/>
  <c r="E27"/>
  <c r="E12"/>
  <c r="E20"/>
  <c r="E28"/>
  <c r="E19"/>
  <c r="E16"/>
  <c r="E29"/>
  <c r="E30"/>
  <c r="E15"/>
  <c r="E31"/>
  <c r="E32"/>
  <c r="E33"/>
  <c r="E13"/>
  <c r="E22"/>
  <c r="E9"/>
  <c r="E11"/>
  <c r="E8"/>
  <c r="E14"/>
  <c r="E3"/>
  <c r="E18"/>
  <c r="E5"/>
  <c r="E17"/>
  <c r="C34" l="1"/>
  <c r="D26" i="11"/>
  <c r="C26"/>
  <c r="C17"/>
  <c r="E28"/>
  <c r="D27"/>
  <c r="D19"/>
  <c r="D12"/>
  <c r="D21"/>
  <c r="D15"/>
  <c r="C15"/>
  <c r="C24"/>
  <c r="C12"/>
  <c r="C27"/>
  <c r="I27" i="10"/>
  <c r="C19" i="11"/>
  <c r="C21"/>
  <c r="D29" l="1"/>
  <c r="C29"/>
  <c r="G4" i="10"/>
  <c r="G3"/>
  <c r="G20"/>
  <c r="G22"/>
  <c r="E4"/>
  <c r="E3"/>
  <c r="E22"/>
  <c r="C17"/>
  <c r="C4"/>
  <c r="C3"/>
  <c r="C28" l="1"/>
  <c r="E28"/>
  <c r="G28"/>
  <c r="C5" i="3"/>
  <c r="C8"/>
  <c r="D22"/>
  <c r="D25"/>
  <c r="D20"/>
  <c r="C22"/>
  <c r="C28" s="1"/>
  <c r="D11"/>
  <c r="E27"/>
  <c r="D23"/>
  <c r="D28" l="1"/>
  <c r="D42" i="2" l="1"/>
  <c r="C42"/>
  <c r="G8" i="13"/>
  <c r="G12"/>
  <c r="G16"/>
  <c r="G6"/>
  <c r="G17"/>
  <c r="G22"/>
  <c r="G25"/>
  <c r="G7"/>
  <c r="G26"/>
  <c r="G24"/>
  <c r="G21"/>
  <c r="G14"/>
  <c r="G15"/>
  <c r="G5"/>
  <c r="G19"/>
  <c r="G27"/>
  <c r="G4"/>
  <c r="G18"/>
  <c r="G11"/>
  <c r="G20"/>
  <c r="G10"/>
  <c r="G23"/>
  <c r="G9"/>
  <c r="G13"/>
  <c r="D34" i="2" l="1"/>
  <c r="C34"/>
  <c r="K38" i="20"/>
  <c r="K39"/>
  <c r="K36"/>
  <c r="K37"/>
  <c r="J4"/>
  <c r="J21"/>
  <c r="J11"/>
  <c r="J19"/>
  <c r="J23"/>
  <c r="J10"/>
  <c r="J20"/>
  <c r="J24"/>
  <c r="J9"/>
  <c r="J22"/>
  <c r="J26"/>
  <c r="J6"/>
  <c r="J8"/>
  <c r="J29"/>
  <c r="J31"/>
  <c r="J28"/>
  <c r="J25"/>
  <c r="J12"/>
  <c r="J13"/>
  <c r="J16"/>
  <c r="J17"/>
  <c r="J7"/>
  <c r="J15"/>
  <c r="J33"/>
  <c r="J27"/>
  <c r="J32"/>
  <c r="J5"/>
  <c r="J30"/>
  <c r="J3"/>
  <c r="J18"/>
  <c r="J14"/>
  <c r="K11" i="14"/>
  <c r="K20"/>
  <c r="K12"/>
  <c r="K10"/>
  <c r="K29"/>
  <c r="K15"/>
  <c r="K24"/>
  <c r="K21"/>
  <c r="K14"/>
  <c r="K32"/>
  <c r="K7"/>
  <c r="K8"/>
  <c r="K9"/>
  <c r="K22"/>
  <c r="K19"/>
  <c r="K16"/>
  <c r="K28"/>
  <c r="K13"/>
  <c r="K17"/>
  <c r="K27"/>
  <c r="K6"/>
  <c r="K26"/>
  <c r="K23"/>
  <c r="K3"/>
  <c r="K30"/>
  <c r="K5"/>
  <c r="K31"/>
  <c r="K33"/>
  <c r="K25"/>
  <c r="K18"/>
  <c r="K4"/>
  <c r="L39"/>
  <c r="L38"/>
  <c r="L37"/>
  <c r="L36"/>
  <c r="E6" i="7" l="1"/>
  <c r="C34" i="5"/>
  <c r="G34" i="2"/>
  <c r="G42"/>
  <c r="H42"/>
  <c r="H34"/>
  <c r="C41" i="6"/>
  <c r="K23" i="8"/>
  <c r="K40" i="4"/>
  <c r="I34"/>
  <c r="J16" s="1"/>
  <c r="K16" s="1"/>
  <c r="K18" i="8"/>
  <c r="K11"/>
  <c r="K31"/>
  <c r="K14"/>
  <c r="K13"/>
  <c r="K21"/>
  <c r="K22"/>
  <c r="K33"/>
  <c r="K3"/>
  <c r="K6"/>
  <c r="K26"/>
  <c r="K17"/>
  <c r="K10"/>
  <c r="K4"/>
  <c r="K32"/>
  <c r="K5"/>
  <c r="K28"/>
  <c r="K25"/>
  <c r="K12"/>
  <c r="K24"/>
  <c r="K7"/>
  <c r="K27"/>
  <c r="K8"/>
  <c r="K20"/>
  <c r="K16"/>
  <c r="K15"/>
  <c r="K30"/>
  <c r="K9"/>
  <c r="K19"/>
  <c r="K29"/>
  <c r="E7" i="9"/>
  <c r="C7"/>
  <c r="C43" i="5"/>
  <c r="E42" i="2"/>
  <c r="E34"/>
  <c r="F35" i="13"/>
  <c r="E8" i="3"/>
  <c r="E3"/>
  <c r="E19"/>
  <c r="I4" i="10"/>
  <c r="I16"/>
  <c r="I22"/>
  <c r="I21"/>
  <c r="I26"/>
  <c r="I8"/>
  <c r="I5"/>
  <c r="I19"/>
  <c r="I13"/>
  <c r="I12"/>
  <c r="I17"/>
  <c r="I24"/>
  <c r="I7"/>
  <c r="I25"/>
  <c r="I9"/>
  <c r="I15"/>
  <c r="I23"/>
  <c r="F5" i="12"/>
  <c r="E25" i="11"/>
  <c r="E10"/>
  <c r="F27" i="12"/>
  <c r="E12" i="3"/>
  <c r="F11" i="12"/>
  <c r="C35" i="10"/>
  <c r="E35"/>
  <c r="E22" i="3"/>
  <c r="E25"/>
  <c r="E7"/>
  <c r="C35" i="13"/>
  <c r="I18" i="10"/>
  <c r="I14"/>
  <c r="I20"/>
  <c r="I6"/>
  <c r="I3"/>
  <c r="I11"/>
  <c r="I10"/>
  <c r="G35"/>
  <c r="K39" i="8"/>
  <c r="K38"/>
  <c r="K40"/>
  <c r="K37"/>
  <c r="H31" i="15"/>
  <c r="H32"/>
  <c r="H30"/>
  <c r="H33"/>
  <c r="H8"/>
  <c r="H10"/>
  <c r="H19"/>
  <c r="H21"/>
  <c r="H23"/>
  <c r="H11"/>
  <c r="H22"/>
  <c r="H16"/>
  <c r="H25"/>
  <c r="H17"/>
  <c r="H6"/>
  <c r="H26"/>
  <c r="H5"/>
  <c r="H13"/>
  <c r="H7"/>
  <c r="H15"/>
  <c r="H9"/>
  <c r="H12"/>
  <c r="H3"/>
  <c r="H20"/>
  <c r="H18"/>
  <c r="H14"/>
  <c r="H4"/>
  <c r="H24"/>
  <c r="E35" i="13"/>
  <c r="G31"/>
  <c r="G34"/>
  <c r="G33"/>
  <c r="G32"/>
  <c r="F34" i="12"/>
  <c r="F35"/>
  <c r="F32"/>
  <c r="F33"/>
  <c r="F12"/>
  <c r="F4"/>
  <c r="F16"/>
  <c r="F10"/>
  <c r="F22"/>
  <c r="F23"/>
  <c r="F25"/>
  <c r="F24"/>
  <c r="F20"/>
  <c r="F17"/>
  <c r="F7"/>
  <c r="F15"/>
  <c r="F6"/>
  <c r="F8"/>
  <c r="F14"/>
  <c r="F9"/>
  <c r="F26"/>
  <c r="E33" i="11"/>
  <c r="E35"/>
  <c r="E32"/>
  <c r="E34"/>
  <c r="E24"/>
  <c r="E20"/>
  <c r="E23"/>
  <c r="E18"/>
  <c r="E27"/>
  <c r="E8"/>
  <c r="E21"/>
  <c r="E6"/>
  <c r="E9"/>
  <c r="E11"/>
  <c r="E4"/>
  <c r="E14"/>
  <c r="E26"/>
  <c r="E19"/>
  <c r="E7"/>
  <c r="E5"/>
  <c r="E16"/>
  <c r="E12"/>
  <c r="E17"/>
  <c r="E22"/>
  <c r="E36" i="12"/>
  <c r="D36"/>
  <c r="C36"/>
  <c r="E32" i="3"/>
  <c r="E31"/>
  <c r="E33"/>
  <c r="E34"/>
  <c r="E17"/>
  <c r="E5"/>
  <c r="E4"/>
  <c r="E10"/>
  <c r="E20"/>
  <c r="E11"/>
  <c r="E16"/>
  <c r="E21"/>
  <c r="E15"/>
  <c r="E18"/>
  <c r="E24"/>
  <c r="E9"/>
  <c r="E6"/>
  <c r="E14"/>
  <c r="D36" i="11"/>
  <c r="C36"/>
  <c r="D35" i="3"/>
  <c r="C35"/>
  <c r="E41" i="5"/>
  <c r="E42"/>
  <c r="K41" i="4"/>
  <c r="C41" i="7"/>
  <c r="E37" s="1"/>
  <c r="E23" i="3"/>
  <c r="K39" i="4"/>
  <c r="K38"/>
  <c r="E26" i="3"/>
  <c r="E13"/>
  <c r="G3" i="9"/>
  <c r="J18" i="4" l="1"/>
  <c r="K18" s="1"/>
  <c r="E27" i="6"/>
  <c r="E25"/>
  <c r="E15"/>
  <c r="E9"/>
  <c r="E30"/>
  <c r="E4"/>
  <c r="E26"/>
  <c r="E14"/>
  <c r="E22"/>
  <c r="E5"/>
  <c r="E23"/>
  <c r="E17"/>
  <c r="E12"/>
  <c r="E21"/>
  <c r="E8"/>
  <c r="E3"/>
  <c r="E16"/>
  <c r="E29"/>
  <c r="E6"/>
  <c r="E19"/>
  <c r="E18"/>
  <c r="E11"/>
  <c r="E7"/>
  <c r="E28"/>
  <c r="E20"/>
  <c r="E13"/>
  <c r="E10"/>
  <c r="E33"/>
  <c r="E24"/>
  <c r="E29" i="5"/>
  <c r="E28"/>
  <c r="F13" i="12"/>
  <c r="E9" i="5"/>
  <c r="I31" i="10"/>
  <c r="I33"/>
  <c r="E22" i="5"/>
  <c r="E25"/>
  <c r="E4"/>
  <c r="E33"/>
  <c r="E31"/>
  <c r="E14"/>
  <c r="E13"/>
  <c r="E38" i="7"/>
  <c r="E39"/>
  <c r="E13" i="11"/>
  <c r="F18" i="12"/>
  <c r="F19"/>
  <c r="J23" i="4"/>
  <c r="K23" s="1"/>
  <c r="J10"/>
  <c r="K10" s="1"/>
  <c r="J25"/>
  <c r="K25" s="1"/>
  <c r="J30"/>
  <c r="K30" s="1"/>
  <c r="J12"/>
  <c r="K12" s="1"/>
  <c r="J21"/>
  <c r="K21" s="1"/>
  <c r="J28"/>
  <c r="K28" s="1"/>
  <c r="G6" i="9"/>
  <c r="G4"/>
  <c r="E26" i="5"/>
  <c r="J30" i="2"/>
  <c r="J31"/>
  <c r="J12"/>
  <c r="J3"/>
  <c r="J20"/>
  <c r="J22"/>
  <c r="J16"/>
  <c r="J8"/>
  <c r="J7"/>
  <c r="J29"/>
  <c r="J38"/>
  <c r="J39"/>
  <c r="F28" i="12"/>
  <c r="J28" i="2"/>
  <c r="J10"/>
  <c r="J25"/>
  <c r="J19"/>
  <c r="J33"/>
  <c r="J17"/>
  <c r="J4"/>
  <c r="E40" i="7"/>
  <c r="J27" i="4"/>
  <c r="K27" s="1"/>
  <c r="J5"/>
  <c r="K5" s="1"/>
  <c r="J29"/>
  <c r="K29" s="1"/>
  <c r="J40" i="2"/>
  <c r="E40" i="5"/>
  <c r="E39"/>
  <c r="E38" i="6"/>
  <c r="E37"/>
  <c r="E40"/>
  <c r="I32" i="10"/>
  <c r="I34"/>
  <c r="J6" i="4"/>
  <c r="K6" s="1"/>
  <c r="J19"/>
  <c r="K19" s="1"/>
  <c r="J9"/>
  <c r="K9" s="1"/>
  <c r="J20"/>
  <c r="K20" s="1"/>
  <c r="J26"/>
  <c r="K26" s="1"/>
  <c r="J11"/>
  <c r="K11" s="1"/>
  <c r="J3"/>
  <c r="K3" s="1"/>
  <c r="J4"/>
  <c r="K4" s="1"/>
  <c r="J15"/>
  <c r="K15" s="1"/>
  <c r="J31"/>
  <c r="K31" s="1"/>
  <c r="J13"/>
  <c r="K13" s="1"/>
  <c r="J8"/>
  <c r="K8" s="1"/>
  <c r="E39" i="6"/>
  <c r="E15" i="11"/>
  <c r="J32" i="4"/>
  <c r="K32" s="1"/>
  <c r="J17"/>
  <c r="K17" s="1"/>
  <c r="J33"/>
  <c r="K33" s="1"/>
  <c r="J7"/>
  <c r="K7" s="1"/>
  <c r="J14"/>
  <c r="K14" s="1"/>
  <c r="J22"/>
  <c r="K22" s="1"/>
  <c r="J24"/>
  <c r="K24" s="1"/>
  <c r="J18" i="2"/>
  <c r="J26"/>
  <c r="J6"/>
  <c r="J32"/>
  <c r="E5" i="5"/>
  <c r="E6"/>
  <c r="E7"/>
  <c r="E21"/>
  <c r="E27"/>
  <c r="E3"/>
  <c r="E8"/>
  <c r="E11"/>
  <c r="E32"/>
  <c r="E16"/>
  <c r="E24"/>
  <c r="E20"/>
  <c r="E10"/>
  <c r="E30"/>
  <c r="E19"/>
  <c r="E15"/>
  <c r="E12"/>
  <c r="E23"/>
  <c r="E18"/>
  <c r="E17"/>
  <c r="J14" i="2" l="1"/>
  <c r="J11"/>
  <c r="J41"/>
  <c r="G5" i="9"/>
  <c r="J21" i="2"/>
  <c r="J27"/>
  <c r="J15"/>
  <c r="J13"/>
  <c r="J23"/>
  <c r="J5"/>
  <c r="J9"/>
  <c r="J24"/>
</calcChain>
</file>

<file path=xl/sharedStrings.xml><?xml version="1.0" encoding="utf-8"?>
<sst xmlns="http://schemas.openxmlformats.org/spreadsheetml/2006/main" count="772" uniqueCount="173">
  <si>
    <t>Кафедра</t>
  </si>
  <si>
    <t>Рейтинг ефективності видавничої діяльності за результатами науково-методичної роботи</t>
  </si>
  <si>
    <t>Рейтинг ефективності видавничої діяльності за результатами наукової роботи</t>
  </si>
  <si>
    <t>Індикатор ефективності видавничої діяльності науково-педагогічних працівників</t>
  </si>
  <si>
    <t>Кафедра управління інноваційною діяльністю та сферою послуг</t>
  </si>
  <si>
    <t>Кафедра автоматизації технологічних процесів та виробництв</t>
  </si>
  <si>
    <t>Кафедра промислового маркетингу</t>
  </si>
  <si>
    <t>Кафедра технічної механіки та сільськогосподарських машин</t>
  </si>
  <si>
    <t>Кафедра менеджменту та адміністрування</t>
  </si>
  <si>
    <t>Кафедра бухгалтерського обліку та аудиту</t>
  </si>
  <si>
    <t>Кафедра економіки та фінансів</t>
  </si>
  <si>
    <t>Кафедра програмної інженерії</t>
  </si>
  <si>
    <t>Кафедра харчової біотехнології і хімії</t>
  </si>
  <si>
    <t>Кафедра будівельної механіки</t>
  </si>
  <si>
    <t>Кафедра автомобілів</t>
  </si>
  <si>
    <t>Кафедра комп'ютерно-інтегрованих технологій</t>
  </si>
  <si>
    <t>Кафедра фізики</t>
  </si>
  <si>
    <t>Кафедра математичних методів в інженерії</t>
  </si>
  <si>
    <t>Кафедра української та іноземних мов</t>
  </si>
  <si>
    <t>Кафедра комп`ютерних систем та мереж</t>
  </si>
  <si>
    <t>Кафедра конструювання верстатів, інструментів та машин</t>
  </si>
  <si>
    <t>Кафедра біотехнічних систем</t>
  </si>
  <si>
    <t>Кафедра українознавства і філософії</t>
  </si>
  <si>
    <t>Кафедра інформатики і математичного моделювання</t>
  </si>
  <si>
    <t>Кафедра приладів і контрольно-вимірювальних систем</t>
  </si>
  <si>
    <t>Кафедра комп'ютерних наук</t>
  </si>
  <si>
    <t>Кафедра електричної інженерії</t>
  </si>
  <si>
    <t>Кафедра економічної кібернетики</t>
  </si>
  <si>
    <t>Кафедра кібербезпеки</t>
  </si>
  <si>
    <t>Кафедра обладнання харчових технологій</t>
  </si>
  <si>
    <t>Кафедра вищої математики</t>
  </si>
  <si>
    <t>Кафедра радіотехнічних систем</t>
  </si>
  <si>
    <t>Кафедра фізичного виховання і спорту</t>
  </si>
  <si>
    <t>Факультет економіки та менеджменту</t>
  </si>
  <si>
    <t>Факультет інженерії машин, споруд та технологій</t>
  </si>
  <si>
    <t>Факультет прикладних інформаційних технологій та електроінженерії</t>
  </si>
  <si>
    <t>Факультет комп'ютерно-інформаційних систем і програмної інженерії</t>
  </si>
  <si>
    <t>Індикатор ефективності видавничої діяльності науково-педагогічних працівників  по кафедрах:</t>
  </si>
  <si>
    <t>Індикатор ефективності видавничої діяльності науково-педагогічних працівників  по факультетах:</t>
  </si>
  <si>
    <t>Індикатор якості науково-педагогічних працівників  по кафедрах:</t>
  </si>
  <si>
    <t>Індикатор якості науково-педагогічних працівників  по факультетах:</t>
  </si>
  <si>
    <t>Факультети</t>
  </si>
  <si>
    <t>Всього:</t>
  </si>
  <si>
    <t>Кількість перем. (ф) – кількість переможців мистецьких конкурсів і спортивних змагань всіх рівнів, крім університетського, (студенти і НПП факультету)</t>
  </si>
  <si>
    <t>Кількість спорт.(ф) – кількість спортсменів, які навчаються на факультеті, мають спортивний розряд або звання</t>
  </si>
  <si>
    <t>К наук.(у) – кошти, отримані на фінансування наукової діяльності університету, тис.грн.</t>
  </si>
  <si>
    <t xml:space="preserve">Всього </t>
  </si>
  <si>
    <t xml:space="preserve">Кількість обм. (у.) – кількість студентів і НПП університету, які брали участь в міжнародних обмінах </t>
  </si>
  <si>
    <t xml:space="preserve">Індикатор між.ак. – індикатор міжнародної активності </t>
  </si>
  <si>
    <t>Всього</t>
  </si>
  <si>
    <t xml:space="preserve"> К ст.і.g.(ф., к) – кількість присутніх на сайті факультету чи кафедри сторінок усіх форматів, проіндексованих пошуковою системою Google</t>
  </si>
  <si>
    <t xml:space="preserve">К ст.і.g.(у) – кількість присутніх на сайті університету сторінок усіх форматів, проіндексованих пошуковою системою Google </t>
  </si>
  <si>
    <t>К з.п.(ф., к) – кількість зовнішніх гіперпосилань на домен сайту факультету чи кафедри</t>
  </si>
  <si>
    <t>К д.з.п.(ф., к) – кількість доменів, з яких надходять зовнішні гіперпосилання на домен сайту факультету чи кафедри</t>
  </si>
  <si>
    <t>К з.п.(у) – кількість зовнішніх гіперпосилань на домен сайту університету</t>
  </si>
  <si>
    <t>К д.з.п.(у) – кількість доменів, з яких надходять зовнішні гіперпосилання на домен сайту університету</t>
  </si>
  <si>
    <t>І Гірша.(ф., к) –значення  індекса Гірша факультету чи кафедри</t>
  </si>
  <si>
    <t>І Гірша у. – індекс Гірша університету</t>
  </si>
  <si>
    <t>К цит.(ф., к) – кількість цитувань наукових праць НПП факультету чи кафедри</t>
  </si>
  <si>
    <t>К цит. у – кількість цитувань наукових праць НПП університету</t>
  </si>
  <si>
    <t>К наук.спец. (к) – кількість наукових спеціальностей, за якими здійснюється підготовка кадрів вищої кваліфікації, що відповідають профілю кафедри, у спеціалізованих вчених радах</t>
  </si>
  <si>
    <t>К спец.рад (у) – кількість наукових спеціальностей у спеціалізованих вчених радах університету</t>
  </si>
  <si>
    <t>Індикатор як.наук.роб – індикатор якості наукової роботи по факультетах</t>
  </si>
  <si>
    <t>І як.осв.проц. – індикатор якості освітнього процесу  по факультетах:</t>
  </si>
  <si>
    <t>К маг., К асп., К докт. (ф., кв) – кількість магістрів, аспірантів, докторантів і здобувачів,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</si>
  <si>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К бак. (ф., кв) – кількість бакалаврів, що навчаються  за всіма спеціальностями факультету чи випускової кафедри станом на 1 жовтня поточного року</t>
  </si>
  <si>
    <t xml:space="preserve">І як.осв.проц. – індикатор якості освітнього процесу </t>
  </si>
  <si>
    <t>І фін.акт. – індикатор фінансової активності по кафедрах:</t>
  </si>
  <si>
    <t>К (ф., к) – кошти спецфонду, отримані від усіх видів діяльності факультету чи кафедри,  крім наукової, тис. грн.</t>
  </si>
  <si>
    <t>І фін.акт. – індикатор фінансової активності по кафедрах</t>
  </si>
  <si>
    <t>І фін.акт. – індикатор фінансової активності  по факультетах:</t>
  </si>
  <si>
    <t>К д.н., Кк.н. (ф., к) – кількість докторів і кандидатів наук, у т.ч. сумісників, що працюють на факультеті чи кафедрі</t>
  </si>
  <si>
    <t>Кнпп (ф., к) – кількість НПП, у т.ч. сумісників, що працюють на факультеті, кафедрі;</t>
  </si>
  <si>
    <t>К інд.грантів (у)  – кількість НПП університету, що отримали індивідуальні гранти (освітні, наукові)</t>
  </si>
  <si>
    <t>(К нпп іноз.мов.) (ф., к) – кількість НПП факультету чи кафедри, які викладали в поточному році навчальні дисципліни іноземною мовою (крім викладачів кафедри української та іноземних мов, які викладали іноземну мову для українських студентів)</t>
  </si>
  <si>
    <t>К нпп В2 (ф.,к) – кількість НПП факультету чи кафедри,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</t>
  </si>
  <si>
    <t>К інд.грантів  (ф., к) – кількість НПП факультету чи кафедри, що отримали індивідуальні гранти (освітні, наукові)</t>
  </si>
  <si>
    <t>К нпп В2 (у) – кількість НПП університету,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студентів).</t>
  </si>
  <si>
    <t>І д.з. – індикатор виконання держзамовлення  по факультетах:</t>
  </si>
  <si>
    <t xml:space="preserve"> І д.з. – індикатор виконання держзамовлення  по кафедрах:</t>
  </si>
  <si>
    <t xml:space="preserve"> І д.з. – індикатор виконання держзамовлення</t>
  </si>
  <si>
    <t>І студ. – індикатор результативності прийому студентів   по факультетах:</t>
  </si>
  <si>
    <t>К студ. (ф., кв)  – кількість студентів, зарахованих за всіма освітніми рівнями, формами навчання і спеціальностями факультету чи випускової кафедри</t>
  </si>
  <si>
    <t>К ліц. обсяг (ф., кв) – ліцензований обсяг прийому студентів за всіма освітніми рівнями, формами навчання і спеціальностями факультету чи випускової кафедри</t>
  </si>
  <si>
    <t xml:space="preserve"> І студ. – індикатор результативності прийому студентів  по кафедрах:</t>
  </si>
  <si>
    <t xml:space="preserve">І студ. – індикатор результативності прийому студентів  </t>
  </si>
  <si>
    <t>К пл. (ф., кв) – кількість студентів, зарахованих на навчання за кошти фізичних і юридичних осіб, в т.ч. іноземних, за всіма освітніми рівнями, формами навчання і спеціальностями факультету чи випускової кафедри</t>
  </si>
  <si>
    <t>К ліц. обсяг - ліцензований обсяг прийому студентів за всіма освітніми рівнями, формами навчання і спеціальностями випускової факультету чи кафедри</t>
  </si>
  <si>
    <t xml:space="preserve">К д.з. – кількість студентів, зарахованих на місця держзамовлення за всіма освітніми рівнями, формами навчання і спеціальностями факультету чи випускової кафедри </t>
  </si>
  <si>
    <t xml:space="preserve">І пл.. – індикатор зарахування студентів за кошти фізичних і юридичних осіб </t>
  </si>
  <si>
    <t>І я.п.ф. – індикатор якості підготовки фахівців  по кафедрах:</t>
  </si>
  <si>
    <t>І я.п.ф. – індикатор якості підготовки фахівців  по факультетах:</t>
  </si>
  <si>
    <t>К пер.ол., конк. (ф., к) –  кількість переможців олімпіад, конкурсів факультету, кафедри</t>
  </si>
  <si>
    <t>К пер.ол., конк. (у) –  кількість переможців олімпіад, конкурсів університету</t>
  </si>
  <si>
    <t>К вип.ЗВ (ф., к) – кількість випускників, які отримали дипломи з відзнакою, за всіма освітніми рівнями, формами навчання і спеціальностями факультету чи випускової кафедри</t>
  </si>
  <si>
    <t xml:space="preserve">К вип. (ф., к) – кількість випускників за всіма освітніми рівнями, формами навчання і спеціальностями факультету чи випускової кафедри </t>
  </si>
  <si>
    <t xml:space="preserve">І я.п.ф. – індикатор якості підготовки фахівців </t>
  </si>
  <si>
    <t xml:space="preserve">Якість освітнього процесу </t>
  </si>
  <si>
    <t xml:space="preserve">Рейтинг </t>
  </si>
  <si>
    <t>№ з.п.</t>
  </si>
  <si>
    <t>І Гірша Scopus (у.) –значення індексу Гірша університету за даними наукометричної бази Scopus</t>
  </si>
  <si>
    <t>І Гірша.Scopus (ф., к) –значення індексу Гірша  факультету чи кафедри за даними наукометричної бази Scopus</t>
  </si>
  <si>
    <t>К п.ф. (ф., к) - кількість підписників офіційної сторінки факультету чи кафедри в соціальній мережі facebook;</t>
  </si>
  <si>
    <t>К п.ф. (у) - кількість підписників офіційної сторінки університету в соціальній мережі facebook</t>
  </si>
  <si>
    <t>К спорт. ВК (у) кількість спортсменів, які навчаються в університеті, мають спортивний розряд або звання</t>
  </si>
  <si>
    <t>М.д.з. (у.) – кількість студентів, які зараховані на місця державного замовлення університету на базі повної загальної середньої освіти</t>
  </si>
  <si>
    <t>О.д.з. ОКР (у.) – обсяг держзамовлення для вступу на базі ОКР «молодший спеціаліст» на спеціальності університету</t>
  </si>
  <si>
    <t>О.д.з. маг. (у.) – обсяг держзамовлення для вступу у магістратуру, на спеціальності університету</t>
  </si>
  <si>
    <t xml:space="preserve">І пл. – індикатор зарахування студентів за кошти фізичних і юридичних осіб </t>
  </si>
  <si>
    <t>РЕЙТИНГ  КАФЕДР ТА ФАКУЛЬТЕТІВ</t>
  </si>
  <si>
    <r>
      <t xml:space="preserve">Індикатор ефективності видавничої діяльності науково-педагогічних працівників 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</si>
  <si>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науково-педагогічних працівників  </t>
    </r>
    <r>
      <rPr>
        <b/>
        <sz val="16"/>
        <rFont val="Times New Roman"/>
        <family val="1"/>
        <charset val="204"/>
      </rPr>
      <t>(0,1)</t>
    </r>
  </si>
  <si>
    <t xml:space="preserve">Кафедра психології </t>
  </si>
  <si>
    <t>Кафедра психології</t>
  </si>
  <si>
    <r>
      <t xml:space="preserve"> Якість освітнього процесу </t>
    </r>
    <r>
      <rPr>
        <b/>
        <sz val="16"/>
        <rFont val="Times New Roman"/>
        <family val="1"/>
        <charset val="204"/>
      </rPr>
      <t>(0,2)</t>
    </r>
  </si>
  <si>
    <t>І як.осв.проц. – індикатор якості освітнього процесу  по кафедрах:</t>
  </si>
  <si>
    <t>І як.наук.роб – індикатор якості наукової роботи по кафедрах:</t>
  </si>
  <si>
    <t>І як.наук.роб – індикатор якості наукової роботи по факультетах:</t>
  </si>
  <si>
    <t>І між.ак. – індикатор міжнародної активності по кафедрах:</t>
  </si>
  <si>
    <t>І між.ак. – індикатор міжнародної активності  по факультетах:</t>
  </si>
  <si>
    <t>І фін. наук. діяльн. – індикатор фінансування наукової діяльності по факультетах</t>
  </si>
  <si>
    <t>І фін. наук. діяльн. – індикатор фінансування наукової діяльності по кафедрах:</t>
  </si>
  <si>
    <t>І веб.пок. – індикатор вебометричних показників  по кафедрах:</t>
  </si>
  <si>
    <t>І веб.пок. – індикатор вебометричних показників по факультетах:</t>
  </si>
  <si>
    <t>І к-м., с.роб. (визначають для факультету) - індикатор якості культурно-мистецької і спортивної роботи:</t>
  </si>
  <si>
    <t>СФ(у) – спецфонд університету, тис. грн.</t>
  </si>
  <si>
    <t>СФ(у) – спецфонд університету, тис.грн.</t>
  </si>
  <si>
    <t>Якість освітнього процесу по кафедрах:</t>
  </si>
  <si>
    <t>Якість освітнього процесу по факультетах:</t>
  </si>
  <si>
    <t>І п.л. – індикатор зарахування студентів за кошти фізичних і юридичних осіб по факультетах:</t>
  </si>
  <si>
    <t>Факультет</t>
  </si>
  <si>
    <t xml:space="preserve">Індикатор якості науково-педагогічних працівників  </t>
  </si>
  <si>
    <t>І фін.акт. – індикатор фінансової активності по факультетах</t>
  </si>
  <si>
    <t>Кафедра інжинірингу машинобудівних технологій</t>
  </si>
  <si>
    <t xml:space="preserve">Кількість обм. (ф.,к) – кількість студентів і НПП  кафедри, які брали участь в міжнародних обмінах </t>
  </si>
  <si>
    <t xml:space="preserve">Кількість обм. (ф.,к) – кількість студентів і НПП факультету, які брали участь в міжнародних обмінах </t>
  </si>
  <si>
    <t>К перем. (у) - кількість переможців університету мистецьких конкурсів і спортивних змагань всіх рівнів, крім університетського, (студенти і НПП університету)</t>
  </si>
  <si>
    <t>№ з.п</t>
  </si>
  <si>
    <t>№
з.п.</t>
  </si>
  <si>
    <t>К студ.ПЗСО– кількість студентів, які вступили на базі повної загальної середньої освіти  на місця державного замовлення 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</si>
  <si>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  на місця державного замовлення 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</si>
  <si>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 на місця державного замовлення  випускової кафедри станом на 1 жовтня поточного року</t>
  </si>
  <si>
    <t>О.д.з. маг. (у.) – обсяг держзамовлення для вступу у магістратуру на спеціальності університету</t>
  </si>
  <si>
    <t xml:space="preserve">І веб.пок. – індикатор вебометричних показників  по кафедрах </t>
  </si>
  <si>
    <t>№ з/п</t>
  </si>
  <si>
    <t xml:space="preserve">І між.ак. – індикатор міжнародної активності </t>
  </si>
  <si>
    <t xml:space="preserve">І к-м., с.роб. (визначають для факультету) – індикатор якості культурно-мистецької і спортивної роботи </t>
  </si>
  <si>
    <t>І фін. наук. діяльн. – індикатор фінансування наукової діяльності по кафедрах</t>
  </si>
  <si>
    <t>І як.наук.роб – індикатор якості наукової роботи по кафедрах</t>
  </si>
  <si>
    <t>І як. НПП - індикатор якості науково-педагогічних працівників  по кафедрах</t>
  </si>
  <si>
    <t>І еф. НПП -
індикатор ефективності видавничої діяльності науково-педагогічних працівників</t>
  </si>
  <si>
    <t>І Гірша Scopus (у.)  – значення індексу Гірша університету за даними наукометричної бази Scopus</t>
  </si>
  <si>
    <r>
      <t xml:space="preserve">Індикатор міжнародної активності </t>
    </r>
    <r>
      <rPr>
        <b/>
        <sz val="16"/>
        <rFont val="Times New Roman"/>
        <family val="1"/>
        <charset val="204"/>
      </rPr>
      <t>(0,1)</t>
    </r>
  </si>
  <si>
    <r>
      <t xml:space="preserve">Індикатор вебометричних показників  </t>
    </r>
    <r>
      <rPr>
        <b/>
        <sz val="16"/>
        <rFont val="Times New Roman"/>
        <family val="1"/>
        <charset val="204"/>
      </rPr>
      <t>(0,05)</t>
    </r>
  </si>
  <si>
    <r>
      <t xml:space="preserve">Індикатор якості культурно-мистецької і спортивної роботи (визначають для факультету) </t>
    </r>
    <r>
      <rPr>
        <b/>
        <sz val="16"/>
        <rFont val="Times New Roman"/>
        <family val="1"/>
        <charset val="204"/>
      </rPr>
      <t>(0,05)</t>
    </r>
  </si>
  <si>
    <t>К студ.ПЗСО– кількість студентів, які вступили на базі повної загальної середньої освіти на місця державного замовлення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</si>
  <si>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 на місця державного замовлення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</si>
  <si>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на місця державного замовлення факультету станом на 1 жовтня поточного року</t>
  </si>
  <si>
    <t>І веб.пок. – індикатор вебометричних показників  по факультетах</t>
  </si>
  <si>
    <t>К наук. (ф., к) – кошти, отримані на фінансування наукової діяльності факультету, тис.грн.</t>
  </si>
  <si>
    <t>К наук. (ф., к) – кошти, отримані на фінансування наукової діяльності кафедри, тис.грн.</t>
  </si>
  <si>
    <r>
      <t xml:space="preserve">Індикатор якості наукової роботи 
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</si>
  <si>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наукової роботи
 </t>
    </r>
    <r>
      <rPr>
        <b/>
        <sz val="16"/>
        <rFont val="Times New Roman"/>
        <family val="1"/>
        <charset val="204"/>
      </rPr>
      <t>(0,2)</t>
    </r>
  </si>
  <si>
    <r>
      <t xml:space="preserve">Індикатор фінансування наукової діяльності </t>
    </r>
    <r>
      <rPr>
        <b/>
        <sz val="16"/>
        <rFont val="Times New Roman"/>
        <family val="1"/>
        <charset val="204"/>
      </rPr>
      <t>(0,1)</t>
    </r>
  </si>
  <si>
    <t>№
з/п</t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</si>
  <si>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(0,1)</t>
    </r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</si>
  <si>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 </t>
    </r>
    <r>
      <rPr>
        <b/>
        <sz val="16"/>
        <rFont val="Times New Roman"/>
        <family val="1"/>
        <charset val="204"/>
      </rPr>
      <t>(0,1)</t>
    </r>
  </si>
  <si>
    <t>І Гірша.Scopus (ф., к) –значення індексу Гірша кафедри за даними наукометричної бази Scopus</t>
  </si>
  <si>
    <t>І Гірша.(ф., к) – значення  індекса Гірша кафедри</t>
  </si>
  <si>
    <t>К цит.(ф., к) – кількість цитувань наукових праць НПП кафедри</t>
  </si>
  <si>
    <t>РЕЙТИНГ КАФЕДР ТА ФАКУЛЬТЕТІВ</t>
  </si>
  <si>
    <t>І пл.– індикатор зарахування студентів за кошти фізичних і юридичних осіб по кафедрах:</t>
  </si>
  <si>
    <t>№ 
з.п.</t>
  </si>
</sst>
</file>

<file path=xl/styles.xml><?xml version="1.0" encoding="utf-8"?>
<styleSheet xmlns="http://schemas.openxmlformats.org/spreadsheetml/2006/main">
  <numFmts count="4">
    <numFmt numFmtId="164" formatCode="_-* #,##0.00\ _г_р_н_._-;\-* #,##0.00\ _г_р_н_._-;_-* &quot;-&quot;??\ _г_р_н_._-;_-@_-"/>
    <numFmt numFmtId="165" formatCode="0.000"/>
    <numFmt numFmtId="166" formatCode="0.0"/>
    <numFmt numFmtId="167" formatCode="_-* #,##0.0\ _г_р_н_._-;\-* #,##0.0\ _г_р_н_._-;_-* &quot;-&quot;??\ _г_р_н_._-;_-@_-"/>
  </numFmts>
  <fonts count="25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0"/>
      <color indexed="2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Arial Cyr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49" fontId="2" fillId="2" borderId="1" xfId="0" applyNumberFormat="1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/>
    <xf numFmtId="0" fontId="6" fillId="0" borderId="0" xfId="0" applyFont="1"/>
    <xf numFmtId="49" fontId="2" fillId="0" borderId="1" xfId="0" applyNumberFormat="1" applyFont="1" applyFill="1" applyBorder="1" applyAlignment="1">
      <alignment wrapText="1"/>
    </xf>
    <xf numFmtId="0" fontId="0" fillId="0" borderId="0" xfId="0" applyFill="1"/>
    <xf numFmtId="0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1" xfId="0" applyNumberForma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10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0" fontId="0" fillId="0" borderId="1" xfId="0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1" fontId="2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2" fontId="7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67" fontId="6" fillId="0" borderId="1" xfId="1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2" fontId="6" fillId="0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0" fillId="3" borderId="0" xfId="0" applyFill="1"/>
    <xf numFmtId="49" fontId="4" fillId="3" borderId="0" xfId="0" applyNumberFormat="1" applyFont="1" applyFill="1" applyAlignment="1">
      <alignment wrapText="1"/>
    </xf>
    <xf numFmtId="49" fontId="0" fillId="3" borderId="0" xfId="0" applyNumberFormat="1" applyFill="1"/>
    <xf numFmtId="0" fontId="8" fillId="0" borderId="3" xfId="0" applyFont="1" applyBorder="1"/>
    <xf numFmtId="2" fontId="0" fillId="0" borderId="3" xfId="0" applyNumberFormat="1" applyBorder="1"/>
    <xf numFmtId="49" fontId="3" fillId="3" borderId="0" xfId="0" applyNumberFormat="1" applyFont="1" applyFill="1"/>
    <xf numFmtId="0" fontId="6" fillId="0" borderId="1" xfId="0" applyFont="1" applyBorder="1"/>
    <xf numFmtId="2" fontId="3" fillId="3" borderId="1" xfId="0" applyNumberFormat="1" applyFont="1" applyFill="1" applyBorder="1"/>
    <xf numFmtId="49" fontId="2" fillId="0" borderId="3" xfId="0" applyNumberFormat="1" applyFont="1" applyFill="1" applyBorder="1" applyAlignment="1">
      <alignment wrapText="1"/>
    </xf>
    <xf numFmtId="0" fontId="6" fillId="0" borderId="1" xfId="0" applyFont="1" applyFill="1" applyBorder="1"/>
    <xf numFmtId="49" fontId="8" fillId="0" borderId="3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0" fontId="7" fillId="5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49" fontId="16" fillId="0" borderId="0" xfId="0" applyNumberFormat="1" applyFont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2" fontId="8" fillId="0" borderId="3" xfId="0" applyNumberFormat="1" applyFont="1" applyBorder="1"/>
    <xf numFmtId="49" fontId="2" fillId="2" borderId="3" xfId="0" applyNumberFormat="1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/>
    <xf numFmtId="2" fontId="7" fillId="0" borderId="3" xfId="0" applyNumberFormat="1" applyFont="1" applyBorder="1"/>
    <xf numFmtId="0" fontId="3" fillId="0" borderId="1" xfId="0" applyFont="1" applyBorder="1"/>
    <xf numFmtId="49" fontId="16" fillId="0" borderId="1" xfId="0" applyNumberFormat="1" applyFont="1" applyBorder="1" applyAlignment="1">
      <alignment wrapText="1"/>
    </xf>
    <xf numFmtId="49" fontId="16" fillId="3" borderId="0" xfId="0" applyNumberFormat="1" applyFont="1" applyFill="1" applyAlignment="1">
      <alignment wrapText="1"/>
    </xf>
    <xf numFmtId="49" fontId="16" fillId="3" borderId="1" xfId="0" applyNumberFormat="1" applyFont="1" applyFill="1" applyBorder="1" applyAlignment="1">
      <alignment wrapText="1"/>
    </xf>
    <xf numFmtId="0" fontId="3" fillId="3" borderId="0" xfId="0" applyFont="1" applyFill="1"/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49" fontId="17" fillId="0" borderId="0" xfId="0" applyNumberFormat="1" applyFont="1"/>
    <xf numFmtId="0" fontId="0" fillId="0" borderId="1" xfId="0" applyFill="1" applyBorder="1"/>
    <xf numFmtId="49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1" fontId="2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0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/>
    <xf numFmtId="0" fontId="7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6" borderId="0" xfId="0" applyFill="1"/>
    <xf numFmtId="49" fontId="16" fillId="6" borderId="0" xfId="0" applyNumberFormat="1" applyFont="1" applyFill="1" applyAlignment="1">
      <alignment wrapText="1"/>
    </xf>
    <xf numFmtId="49" fontId="3" fillId="6" borderId="0" xfId="0" applyNumberFormat="1" applyFont="1" applyFill="1"/>
    <xf numFmtId="0" fontId="3" fillId="6" borderId="0" xfId="0" applyFont="1" applyFill="1"/>
    <xf numFmtId="1" fontId="8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1" fontId="8" fillId="0" borderId="1" xfId="1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wrapText="1"/>
    </xf>
    <xf numFmtId="0" fontId="6" fillId="0" borderId="0" xfId="0" applyFont="1" applyBorder="1"/>
    <xf numFmtId="0" fontId="8" fillId="0" borderId="0" xfId="0" applyFont="1" applyBorder="1"/>
    <xf numFmtId="1" fontId="10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49" fontId="16" fillId="0" borderId="6" xfId="0" applyNumberFormat="1" applyFont="1" applyBorder="1" applyAlignment="1">
      <alignment horizontal="left" wrapText="1"/>
    </xf>
    <xf numFmtId="49" fontId="8" fillId="0" borderId="0" xfId="0" applyNumberFormat="1" applyFont="1" applyBorder="1"/>
    <xf numFmtId="2" fontId="8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6" fillId="0" borderId="6" xfId="0" applyNumberFormat="1" applyFont="1" applyBorder="1" applyAlignment="1">
      <alignment wrapText="1"/>
    </xf>
    <xf numFmtId="1" fontId="6" fillId="0" borderId="2" xfId="0" applyNumberFormat="1" applyFont="1" applyFill="1" applyBorder="1" applyAlignment="1">
      <alignment horizontal="center" wrapText="1"/>
    </xf>
    <xf numFmtId="0" fontId="0" fillId="0" borderId="0" xfId="0" applyBorder="1"/>
    <xf numFmtId="1" fontId="0" fillId="0" borderId="0" xfId="0" applyNumberFormat="1" applyBorder="1"/>
    <xf numFmtId="1" fontId="8" fillId="0" borderId="0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1" fillId="0" borderId="0" xfId="0" applyFont="1"/>
    <xf numFmtId="165" fontId="21" fillId="0" borderId="0" xfId="0" applyNumberFormat="1" applyFont="1"/>
    <xf numFmtId="165" fontId="0" fillId="0" borderId="0" xfId="0" applyNumberFormat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2" fontId="6" fillId="7" borderId="1" xfId="0" applyNumberFormat="1" applyFont="1" applyFill="1" applyBorder="1" applyAlignment="1">
      <alignment horizontal="right" wrapText="1"/>
    </xf>
    <xf numFmtId="1" fontId="0" fillId="0" borderId="0" xfId="0" applyNumberFormat="1"/>
    <xf numFmtId="0" fontId="0" fillId="0" borderId="0" xfId="0" applyAlignment="1">
      <alignment horizontal="right"/>
    </xf>
    <xf numFmtId="1" fontId="22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2" fontId="1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2" fontId="22" fillId="0" borderId="0" xfId="0" applyNumberFormat="1" applyFont="1" applyBorder="1" applyAlignment="1">
      <alignment horizontal="center"/>
    </xf>
    <xf numFmtId="2" fontId="0" fillId="0" borderId="0" xfId="0" applyNumberFormat="1" applyFill="1" applyBorder="1"/>
    <xf numFmtId="2" fontId="19" fillId="0" borderId="0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right"/>
    </xf>
    <xf numFmtId="2" fontId="24" fillId="0" borderId="1" xfId="0" applyNumberFormat="1" applyFont="1" applyBorder="1"/>
    <xf numFmtId="2" fontId="24" fillId="0" borderId="0" xfId="0" applyNumberFormat="1" applyFont="1"/>
    <xf numFmtId="4" fontId="8" fillId="2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24" fillId="0" borderId="0" xfId="0" applyFont="1" applyBorder="1"/>
    <xf numFmtId="2" fontId="6" fillId="7" borderId="0" xfId="0" applyNumberFormat="1" applyFont="1" applyFill="1" applyBorder="1" applyAlignment="1">
      <alignment horizontal="right" wrapText="1"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 wrapText="1"/>
    </xf>
    <xf numFmtId="0" fontId="16" fillId="6" borderId="4" xfId="0" applyFont="1" applyFill="1" applyBorder="1" applyAlignment="1">
      <alignment wrapText="1"/>
    </xf>
    <xf numFmtId="49" fontId="16" fillId="0" borderId="6" xfId="0" applyNumberFormat="1" applyFont="1" applyBorder="1" applyAlignment="1">
      <alignment horizontal="left" wrapText="1"/>
    </xf>
    <xf numFmtId="0" fontId="16" fillId="3" borderId="6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0" zoomScaleNormal="70" zoomScaleSheetLayoutView="75" workbookViewId="0">
      <selection sqref="A1:K1"/>
    </sheetView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28515625" customWidth="1"/>
    <col min="6" max="6" width="12.5703125" customWidth="1"/>
    <col min="7" max="7" width="12.42578125" customWidth="1"/>
    <col min="8" max="8" width="18.140625" customWidth="1"/>
    <col min="9" max="9" width="13.140625" customWidth="1"/>
    <col min="10" max="10" width="13.42578125" customWidth="1"/>
    <col min="11" max="11" width="15.85546875" customWidth="1"/>
    <col min="12" max="12" width="14.140625" customWidth="1"/>
  </cols>
  <sheetData>
    <row r="1" spans="1:12" ht="20.25">
      <c r="A1" s="167" t="s">
        <v>170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2" ht="140.25" customHeight="1">
      <c r="A2" s="111" t="s">
        <v>164</v>
      </c>
      <c r="B2" s="53" t="s">
        <v>0</v>
      </c>
      <c r="C2" s="101" t="s">
        <v>110</v>
      </c>
      <c r="D2" s="101" t="s">
        <v>111</v>
      </c>
      <c r="E2" s="101" t="s">
        <v>114</v>
      </c>
      <c r="F2" s="101" t="s">
        <v>162</v>
      </c>
      <c r="G2" s="101" t="s">
        <v>152</v>
      </c>
      <c r="H2" s="101" t="s">
        <v>165</v>
      </c>
      <c r="I2" s="101" t="s">
        <v>163</v>
      </c>
      <c r="J2" s="101" t="s">
        <v>153</v>
      </c>
      <c r="K2" s="102" t="s">
        <v>98</v>
      </c>
      <c r="L2" s="52"/>
    </row>
    <row r="3" spans="1:12" ht="22.5" customHeight="1">
      <c r="A3" s="43">
        <v>1</v>
      </c>
      <c r="B3" s="1" t="s">
        <v>7</v>
      </c>
      <c r="C3" s="13">
        <v>1.32</v>
      </c>
      <c r="D3" s="23">
        <v>1.1100000000000001</v>
      </c>
      <c r="E3" s="35">
        <v>1.03</v>
      </c>
      <c r="F3" s="23">
        <v>1.27</v>
      </c>
      <c r="G3" s="23">
        <v>0</v>
      </c>
      <c r="H3" s="55">
        <v>1.3132742568172298E-2</v>
      </c>
      <c r="I3" s="23">
        <v>0.03</v>
      </c>
      <c r="J3" s="23">
        <v>0.02</v>
      </c>
      <c r="K3" s="55">
        <f t="shared" ref="K3:K33" si="0">0.2*C3+0.1*D3+0.2*E3+0.2*F3+0.1*G3+0.1*(H3+I3)+0.05*J3</f>
        <v>0.84031327425681723</v>
      </c>
      <c r="L3" s="52"/>
    </row>
    <row r="4" spans="1:12" ht="15.75" customHeight="1">
      <c r="A4" s="43">
        <v>2</v>
      </c>
      <c r="B4" s="1" t="s">
        <v>5</v>
      </c>
      <c r="C4" s="13">
        <v>0.69</v>
      </c>
      <c r="D4" s="23">
        <v>0.99</v>
      </c>
      <c r="E4" s="35">
        <v>0.56999999999999995</v>
      </c>
      <c r="F4" s="23">
        <v>2.04</v>
      </c>
      <c r="G4" s="23">
        <v>0.01</v>
      </c>
      <c r="H4" s="55">
        <v>2.1877954415537794E-3</v>
      </c>
      <c r="I4" s="23">
        <v>7.0000000000000007E-2</v>
      </c>
      <c r="J4" s="23">
        <v>0.12</v>
      </c>
      <c r="K4" s="55">
        <f t="shared" si="0"/>
        <v>0.77321877954415541</v>
      </c>
      <c r="L4" s="52"/>
    </row>
    <row r="5" spans="1:12" ht="20.25" customHeight="1">
      <c r="A5" s="43">
        <v>3</v>
      </c>
      <c r="B5" s="1" t="s">
        <v>4</v>
      </c>
      <c r="C5" s="13">
        <v>1.28</v>
      </c>
      <c r="D5" s="23">
        <v>1.57</v>
      </c>
      <c r="E5" s="35">
        <v>0.38</v>
      </c>
      <c r="F5" s="23">
        <v>1.18</v>
      </c>
      <c r="G5" s="23">
        <v>0.01</v>
      </c>
      <c r="H5" s="55">
        <v>5.4328898845111606E-2</v>
      </c>
      <c r="I5" s="23">
        <v>0.04</v>
      </c>
      <c r="J5" s="23">
        <v>0.09</v>
      </c>
      <c r="K5" s="55">
        <f t="shared" si="0"/>
        <v>0.73993288988451122</v>
      </c>
      <c r="L5" s="52"/>
    </row>
    <row r="6" spans="1:12" ht="15.75">
      <c r="A6" s="43">
        <v>4</v>
      </c>
      <c r="B6" s="1" t="s">
        <v>11</v>
      </c>
      <c r="C6" s="13">
        <v>0.76</v>
      </c>
      <c r="D6" s="23">
        <v>0.81</v>
      </c>
      <c r="E6" s="35">
        <v>1.64</v>
      </c>
      <c r="F6" s="23">
        <v>0.77</v>
      </c>
      <c r="G6" s="23">
        <v>0</v>
      </c>
      <c r="H6" s="55">
        <v>7.3970683095137421E-2</v>
      </c>
      <c r="I6" s="23">
        <v>0.02</v>
      </c>
      <c r="J6" s="23">
        <v>7.0000000000000007E-2</v>
      </c>
      <c r="K6" s="55">
        <f t="shared" si="0"/>
        <v>0.72789706830951373</v>
      </c>
      <c r="L6" s="52"/>
    </row>
    <row r="7" spans="1:12" ht="17.25" customHeight="1">
      <c r="A7" s="43">
        <v>5</v>
      </c>
      <c r="B7" s="1" t="s">
        <v>133</v>
      </c>
      <c r="C7" s="13">
        <v>0.4</v>
      </c>
      <c r="D7" s="23">
        <v>0.94</v>
      </c>
      <c r="E7" s="35">
        <v>1.38</v>
      </c>
      <c r="F7" s="23">
        <v>1.34</v>
      </c>
      <c r="G7" s="23">
        <v>0.01</v>
      </c>
      <c r="H7" s="55">
        <v>2.3006564776908166E-2</v>
      </c>
      <c r="I7" s="23">
        <v>0.02</v>
      </c>
      <c r="J7" s="23">
        <v>0.05</v>
      </c>
      <c r="K7" s="55">
        <f t="shared" si="0"/>
        <v>0.72580065647769076</v>
      </c>
      <c r="L7" s="52"/>
    </row>
    <row r="8" spans="1:12" ht="15.75">
      <c r="A8" s="43">
        <v>6</v>
      </c>
      <c r="B8" s="1" t="s">
        <v>19</v>
      </c>
      <c r="C8" s="13">
        <v>0.38</v>
      </c>
      <c r="D8" s="23">
        <v>1.82</v>
      </c>
      <c r="E8" s="35">
        <v>1.21</v>
      </c>
      <c r="F8" s="23">
        <v>0.92</v>
      </c>
      <c r="G8" s="23">
        <v>0.09</v>
      </c>
      <c r="H8" s="55">
        <v>0.11404126591721622</v>
      </c>
      <c r="I8" s="23">
        <v>0.06</v>
      </c>
      <c r="J8" s="23">
        <v>0.13</v>
      </c>
      <c r="K8" s="55">
        <f t="shared" si="0"/>
        <v>0.71690412659172165</v>
      </c>
      <c r="L8" s="52"/>
    </row>
    <row r="9" spans="1:12" ht="15.75">
      <c r="A9" s="43">
        <v>7</v>
      </c>
      <c r="B9" s="1" t="s">
        <v>25</v>
      </c>
      <c r="C9" s="13">
        <v>0.42</v>
      </c>
      <c r="D9" s="23">
        <v>1.4</v>
      </c>
      <c r="E9" s="35">
        <v>1.21</v>
      </c>
      <c r="F9" s="23">
        <v>1.04</v>
      </c>
      <c r="G9" s="23">
        <v>0.03</v>
      </c>
      <c r="H9" s="55">
        <v>6.9533419034302241E-2</v>
      </c>
      <c r="I9" s="23">
        <v>0.06</v>
      </c>
      <c r="J9" s="23">
        <v>0.24</v>
      </c>
      <c r="K9" s="55">
        <f t="shared" si="0"/>
        <v>0.70195334190343017</v>
      </c>
      <c r="L9" s="52"/>
    </row>
    <row r="10" spans="1:12" ht="15.75">
      <c r="A10" s="43">
        <v>8</v>
      </c>
      <c r="B10" s="1" t="s">
        <v>9</v>
      </c>
      <c r="C10" s="13">
        <v>0.56999999999999995</v>
      </c>
      <c r="D10" s="23">
        <v>1.1399999999999999</v>
      </c>
      <c r="E10" s="35">
        <v>1.34</v>
      </c>
      <c r="F10" s="23">
        <v>0.8</v>
      </c>
      <c r="G10" s="23">
        <v>0.15</v>
      </c>
      <c r="H10" s="55">
        <v>2.1996417744999573E-2</v>
      </c>
      <c r="I10" s="23">
        <v>0.03</v>
      </c>
      <c r="J10" s="23">
        <v>0.04</v>
      </c>
      <c r="K10" s="55">
        <f t="shared" si="0"/>
        <v>0.67819964177449998</v>
      </c>
      <c r="L10" s="52"/>
    </row>
    <row r="11" spans="1:12" ht="15.75">
      <c r="A11" s="43">
        <v>9</v>
      </c>
      <c r="B11" s="1" t="s">
        <v>14</v>
      </c>
      <c r="C11" s="13">
        <v>0.53</v>
      </c>
      <c r="D11" s="23">
        <v>0.98</v>
      </c>
      <c r="E11" s="35">
        <v>1.24</v>
      </c>
      <c r="F11" s="23">
        <v>0.83</v>
      </c>
      <c r="G11" s="23">
        <v>0.03</v>
      </c>
      <c r="H11" s="55">
        <v>5.0327039267337031E-2</v>
      </c>
      <c r="I11" s="23">
        <v>0.03</v>
      </c>
      <c r="J11" s="23">
        <v>0.05</v>
      </c>
      <c r="K11" s="55">
        <f t="shared" si="0"/>
        <v>0.63153270392673366</v>
      </c>
      <c r="L11" s="52"/>
    </row>
    <row r="12" spans="1:12" ht="16.5" customHeight="1">
      <c r="A12" s="43">
        <v>10</v>
      </c>
      <c r="B12" s="1" t="s">
        <v>13</v>
      </c>
      <c r="C12" s="13">
        <v>0.21</v>
      </c>
      <c r="D12" s="23">
        <v>1.61</v>
      </c>
      <c r="E12" s="35">
        <v>1.0900000000000001</v>
      </c>
      <c r="F12" s="23">
        <v>0.89</v>
      </c>
      <c r="G12" s="23">
        <v>0.01</v>
      </c>
      <c r="H12" s="55">
        <v>9.2217272535242867E-2</v>
      </c>
      <c r="I12" s="23">
        <v>0.08</v>
      </c>
      <c r="J12" s="23">
        <v>0.16</v>
      </c>
      <c r="K12" s="55">
        <f t="shared" si="0"/>
        <v>0.62522172725352443</v>
      </c>
      <c r="L12" s="52"/>
    </row>
    <row r="13" spans="1:12" ht="16.5" customHeight="1">
      <c r="A13" s="43">
        <v>11</v>
      </c>
      <c r="B13" s="1" t="s">
        <v>8</v>
      </c>
      <c r="C13" s="13">
        <v>0.34</v>
      </c>
      <c r="D13" s="23">
        <v>1.5</v>
      </c>
      <c r="E13" s="35">
        <v>0.99</v>
      </c>
      <c r="F13" s="23">
        <v>0.84</v>
      </c>
      <c r="G13" s="23">
        <v>0.03</v>
      </c>
      <c r="H13" s="55">
        <v>8.9643558203020529E-2</v>
      </c>
      <c r="I13" s="23">
        <v>0.05</v>
      </c>
      <c r="J13" s="23">
        <v>0.06</v>
      </c>
      <c r="K13" s="55">
        <f t="shared" si="0"/>
        <v>0.60396435582030217</v>
      </c>
      <c r="L13" s="52"/>
    </row>
    <row r="14" spans="1:12" ht="15.75">
      <c r="A14" s="43">
        <v>12</v>
      </c>
      <c r="B14" s="1" t="s">
        <v>28</v>
      </c>
      <c r="C14" s="13">
        <v>0.23</v>
      </c>
      <c r="D14" s="23">
        <v>1.04</v>
      </c>
      <c r="E14" s="35">
        <v>1.29</v>
      </c>
      <c r="F14" s="23">
        <v>0.84</v>
      </c>
      <c r="G14" s="23">
        <v>0</v>
      </c>
      <c r="H14" s="55">
        <v>1.6275637115214056E-2</v>
      </c>
      <c r="I14" s="23">
        <v>0</v>
      </c>
      <c r="J14" s="23">
        <v>0.06</v>
      </c>
      <c r="K14" s="55">
        <f t="shared" si="0"/>
        <v>0.58062756371152147</v>
      </c>
      <c r="L14" s="52"/>
    </row>
    <row r="15" spans="1:12" ht="15.75">
      <c r="A15" s="43">
        <v>13</v>
      </c>
      <c r="B15" s="1" t="s">
        <v>10</v>
      </c>
      <c r="C15" s="13">
        <v>0.54</v>
      </c>
      <c r="D15" s="23">
        <v>1.38</v>
      </c>
      <c r="E15" s="35">
        <v>0.74</v>
      </c>
      <c r="F15" s="23">
        <v>0.7</v>
      </c>
      <c r="G15" s="23">
        <v>0.1</v>
      </c>
      <c r="H15" s="55">
        <v>2.5710746211165425E-2</v>
      </c>
      <c r="I15" s="23">
        <v>0.1</v>
      </c>
      <c r="J15" s="23">
        <v>0.22</v>
      </c>
      <c r="K15" s="55">
        <f t="shared" si="0"/>
        <v>0.56757107462111656</v>
      </c>
      <c r="L15" s="52"/>
    </row>
    <row r="16" spans="1:12" ht="15.75">
      <c r="A16" s="43">
        <v>14</v>
      </c>
      <c r="B16" s="1" t="s">
        <v>6</v>
      </c>
      <c r="C16" s="13">
        <v>0.51</v>
      </c>
      <c r="D16" s="23">
        <v>1.1100000000000001</v>
      </c>
      <c r="E16" s="35">
        <v>0.98</v>
      </c>
      <c r="F16" s="23">
        <v>0.62</v>
      </c>
      <c r="G16" s="23">
        <v>0.03</v>
      </c>
      <c r="H16" s="55">
        <v>2.9225342131294116E-2</v>
      </c>
      <c r="I16" s="23">
        <v>0.05</v>
      </c>
      <c r="J16" s="23">
        <v>0.28999999999999998</v>
      </c>
      <c r="K16" s="55">
        <f t="shared" si="0"/>
        <v>0.55842253421312937</v>
      </c>
      <c r="L16" s="52"/>
    </row>
    <row r="17" spans="1:12" ht="18" customHeight="1">
      <c r="A17" s="43">
        <v>15</v>
      </c>
      <c r="B17" s="1" t="s">
        <v>29</v>
      </c>
      <c r="C17" s="13">
        <v>0.54</v>
      </c>
      <c r="D17" s="23">
        <v>1.39</v>
      </c>
      <c r="E17" s="35">
        <v>0.9</v>
      </c>
      <c r="F17" s="23">
        <v>0.52</v>
      </c>
      <c r="G17" s="23">
        <v>0.04</v>
      </c>
      <c r="H17" s="55">
        <v>2.18150824589247E-2</v>
      </c>
      <c r="I17" s="23">
        <v>0.02</v>
      </c>
      <c r="J17" s="23">
        <v>0.22</v>
      </c>
      <c r="K17" s="55">
        <f t="shared" si="0"/>
        <v>0.55018150824589251</v>
      </c>
      <c r="L17" s="52"/>
    </row>
    <row r="18" spans="1:12" ht="15.75">
      <c r="A18" s="43">
        <v>16</v>
      </c>
      <c r="B18" s="1" t="s">
        <v>12</v>
      </c>
      <c r="C18" s="13">
        <v>0.5</v>
      </c>
      <c r="D18" s="23">
        <v>0.87</v>
      </c>
      <c r="E18" s="35">
        <v>0.94</v>
      </c>
      <c r="F18" s="23">
        <v>0.74</v>
      </c>
      <c r="G18" s="23">
        <v>0.09</v>
      </c>
      <c r="H18" s="55">
        <v>1.6165980814630831E-2</v>
      </c>
      <c r="I18" s="23">
        <v>0</v>
      </c>
      <c r="J18" s="23">
        <v>0.09</v>
      </c>
      <c r="K18" s="55">
        <f t="shared" si="0"/>
        <v>0.53811659808146306</v>
      </c>
      <c r="L18" s="52"/>
    </row>
    <row r="19" spans="1:12" ht="15.75">
      <c r="A19" s="43">
        <v>17</v>
      </c>
      <c r="B19" s="1" t="s">
        <v>20</v>
      </c>
      <c r="C19" s="13">
        <v>0.38</v>
      </c>
      <c r="D19" s="23">
        <v>1.2</v>
      </c>
      <c r="E19" s="35">
        <v>0.88</v>
      </c>
      <c r="F19" s="23">
        <v>0.67</v>
      </c>
      <c r="G19" s="23">
        <v>0.06</v>
      </c>
      <c r="H19" s="55">
        <v>1.2442709457979399E-2</v>
      </c>
      <c r="I19" s="23">
        <v>0.06</v>
      </c>
      <c r="J19" s="23">
        <v>7.0000000000000007E-2</v>
      </c>
      <c r="K19" s="55">
        <f t="shared" si="0"/>
        <v>0.5227442709457979</v>
      </c>
      <c r="L19" s="52"/>
    </row>
    <row r="20" spans="1:12" ht="15.75">
      <c r="A20" s="43">
        <v>18</v>
      </c>
      <c r="B20" s="1" t="s">
        <v>21</v>
      </c>
      <c r="C20" s="13">
        <v>0.22</v>
      </c>
      <c r="D20" s="23">
        <v>1.49</v>
      </c>
      <c r="E20" s="35">
        <v>0.77</v>
      </c>
      <c r="F20" s="23">
        <v>0.49</v>
      </c>
      <c r="G20" s="23">
        <v>0.13</v>
      </c>
      <c r="H20" s="55">
        <v>1.3098177776974685E-2</v>
      </c>
      <c r="I20" s="23">
        <v>0</v>
      </c>
      <c r="J20" s="23">
        <v>0.1</v>
      </c>
      <c r="K20" s="55">
        <f t="shared" si="0"/>
        <v>0.46430981777769753</v>
      </c>
      <c r="L20" s="52"/>
    </row>
    <row r="21" spans="1:12" ht="15.75">
      <c r="A21" s="43">
        <v>19</v>
      </c>
      <c r="B21" s="1" t="s">
        <v>26</v>
      </c>
      <c r="C21" s="13">
        <v>0.06</v>
      </c>
      <c r="D21" s="23">
        <v>1.53</v>
      </c>
      <c r="E21" s="35">
        <v>0.95</v>
      </c>
      <c r="F21" s="23">
        <v>0.38</v>
      </c>
      <c r="G21" s="23">
        <v>0.06</v>
      </c>
      <c r="H21" s="55">
        <v>5.8711946132886765E-2</v>
      </c>
      <c r="I21" s="23">
        <v>0.12</v>
      </c>
      <c r="J21" s="23">
        <v>7.0000000000000007E-2</v>
      </c>
      <c r="K21" s="55">
        <f t="shared" si="0"/>
        <v>0.45837119461328873</v>
      </c>
      <c r="L21" s="52"/>
    </row>
    <row r="22" spans="1:12" ht="15.75">
      <c r="A22" s="43">
        <v>20</v>
      </c>
      <c r="B22" s="1" t="s">
        <v>15</v>
      </c>
      <c r="C22" s="13">
        <v>0.16</v>
      </c>
      <c r="D22" s="23">
        <v>1.02</v>
      </c>
      <c r="E22" s="35">
        <v>0.63</v>
      </c>
      <c r="F22" s="23">
        <v>0.73</v>
      </c>
      <c r="G22" s="23">
        <v>0</v>
      </c>
      <c r="H22" s="55">
        <v>1.0756882695066559E-3</v>
      </c>
      <c r="I22" s="23">
        <v>0.06</v>
      </c>
      <c r="J22" s="23">
        <v>0.05</v>
      </c>
      <c r="K22" s="55">
        <f t="shared" si="0"/>
        <v>0.41460756882695071</v>
      </c>
      <c r="L22" s="52"/>
    </row>
    <row r="23" spans="1:12" ht="15.75">
      <c r="A23" s="43">
        <v>21</v>
      </c>
      <c r="B23" s="1" t="s">
        <v>31</v>
      </c>
      <c r="C23" s="13">
        <v>0.06</v>
      </c>
      <c r="D23" s="23">
        <v>0.61</v>
      </c>
      <c r="E23" s="35">
        <v>1.17</v>
      </c>
      <c r="F23" s="23">
        <v>0.28000000000000003</v>
      </c>
      <c r="G23" s="23">
        <v>0.01</v>
      </c>
      <c r="H23" s="55">
        <v>1.0539528099413038E-2</v>
      </c>
      <c r="I23" s="23">
        <v>0.02</v>
      </c>
      <c r="J23" s="23">
        <v>0.05</v>
      </c>
      <c r="K23" s="55">
        <f t="shared" si="0"/>
        <v>0.3695539528099413</v>
      </c>
      <c r="L23" s="52"/>
    </row>
    <row r="24" spans="1:12" ht="15.75">
      <c r="A24" s="43">
        <v>22</v>
      </c>
      <c r="B24" s="1" t="s">
        <v>27</v>
      </c>
      <c r="C24" s="13">
        <v>0.22</v>
      </c>
      <c r="D24" s="23">
        <v>0.79</v>
      </c>
      <c r="E24" s="35">
        <v>0.66</v>
      </c>
      <c r="F24" s="23">
        <v>0.52</v>
      </c>
      <c r="G24" s="23">
        <v>0.03</v>
      </c>
      <c r="H24" s="55">
        <v>1.2977564637378298E-2</v>
      </c>
      <c r="I24" s="23">
        <v>0.04</v>
      </c>
      <c r="J24" s="23">
        <v>0.04</v>
      </c>
      <c r="K24" s="55">
        <f t="shared" si="0"/>
        <v>0.3692977564637378</v>
      </c>
      <c r="L24" s="52"/>
    </row>
    <row r="25" spans="1:12" ht="15.75">
      <c r="A25" s="43">
        <v>23</v>
      </c>
      <c r="B25" s="1" t="s">
        <v>16</v>
      </c>
      <c r="C25" s="13">
        <v>0.44</v>
      </c>
      <c r="D25" s="23">
        <v>1.26</v>
      </c>
      <c r="E25" s="35">
        <v>0</v>
      </c>
      <c r="F25" s="23">
        <v>0.76</v>
      </c>
      <c r="G25" s="23">
        <v>0</v>
      </c>
      <c r="H25" s="55">
        <v>0</v>
      </c>
      <c r="I25" s="23">
        <v>0</v>
      </c>
      <c r="J25" s="23">
        <v>0.06</v>
      </c>
      <c r="K25" s="55">
        <f t="shared" si="0"/>
        <v>0.36900000000000005</v>
      </c>
      <c r="L25" s="52"/>
    </row>
    <row r="26" spans="1:12" ht="15.75">
      <c r="A26" s="43">
        <v>24</v>
      </c>
      <c r="B26" s="1" t="s">
        <v>112</v>
      </c>
      <c r="C26" s="13">
        <v>0.05</v>
      </c>
      <c r="D26" s="23">
        <v>1.08</v>
      </c>
      <c r="E26" s="35">
        <v>0.7</v>
      </c>
      <c r="F26" s="23">
        <v>0.22</v>
      </c>
      <c r="G26" s="23">
        <v>0.03</v>
      </c>
      <c r="H26" s="55">
        <v>3.5644587282766982E-2</v>
      </c>
      <c r="I26" s="23">
        <v>0</v>
      </c>
      <c r="J26" s="23">
        <v>0.1</v>
      </c>
      <c r="K26" s="55">
        <f t="shared" si="0"/>
        <v>0.31356445872827671</v>
      </c>
      <c r="L26" s="52"/>
    </row>
    <row r="27" spans="1:12" ht="15.75">
      <c r="A27" s="43">
        <v>25</v>
      </c>
      <c r="B27" s="1" t="s">
        <v>24</v>
      </c>
      <c r="C27" s="13">
        <v>7.0000000000000007E-2</v>
      </c>
      <c r="D27" s="23">
        <v>0.91</v>
      </c>
      <c r="E27" s="35">
        <v>0.41</v>
      </c>
      <c r="F27" s="23">
        <v>0.37</v>
      </c>
      <c r="G27" s="23">
        <v>0.01</v>
      </c>
      <c r="H27" s="55">
        <v>5.8886416411877535E-4</v>
      </c>
      <c r="I27" s="23">
        <v>0.06</v>
      </c>
      <c r="J27" s="23">
        <v>0.05</v>
      </c>
      <c r="K27" s="55">
        <f t="shared" si="0"/>
        <v>0.2705588864164119</v>
      </c>
      <c r="L27" s="52"/>
    </row>
    <row r="28" spans="1:12" ht="15.75">
      <c r="A28" s="43">
        <v>26</v>
      </c>
      <c r="B28" s="1" t="s">
        <v>17</v>
      </c>
      <c r="C28" s="13">
        <v>0.08</v>
      </c>
      <c r="D28" s="23">
        <v>1.1599999999999999</v>
      </c>
      <c r="E28" s="35">
        <v>0</v>
      </c>
      <c r="F28" s="23">
        <v>0.43</v>
      </c>
      <c r="G28" s="23">
        <v>0</v>
      </c>
      <c r="H28" s="55">
        <v>3.0209084060285503E-2</v>
      </c>
      <c r="I28" s="23">
        <v>0</v>
      </c>
      <c r="J28" s="23">
        <v>0.1</v>
      </c>
      <c r="K28" s="55">
        <f t="shared" si="0"/>
        <v>0.22602090840602859</v>
      </c>
      <c r="L28" s="52"/>
    </row>
    <row r="29" spans="1:12" ht="15.75">
      <c r="A29" s="43">
        <v>27</v>
      </c>
      <c r="B29" s="1" t="s">
        <v>30</v>
      </c>
      <c r="C29" s="13">
        <v>0.1</v>
      </c>
      <c r="D29" s="23">
        <v>1.1499999999999999</v>
      </c>
      <c r="E29" s="35">
        <v>0</v>
      </c>
      <c r="F29" s="23">
        <v>0.38</v>
      </c>
      <c r="G29" s="23">
        <v>0</v>
      </c>
      <c r="H29" s="55">
        <v>6.088805747623687E-3</v>
      </c>
      <c r="I29" s="23">
        <v>0</v>
      </c>
      <c r="J29" s="23">
        <v>0.08</v>
      </c>
      <c r="K29" s="55">
        <f t="shared" si="0"/>
        <v>0.21560888057476241</v>
      </c>
      <c r="L29" s="52"/>
    </row>
    <row r="30" spans="1:12" ht="15.75" customHeight="1">
      <c r="A30" s="43">
        <v>28</v>
      </c>
      <c r="B30" s="1" t="s">
        <v>22</v>
      </c>
      <c r="C30" s="13">
        <v>0.11</v>
      </c>
      <c r="D30" s="23">
        <v>0.95</v>
      </c>
      <c r="E30" s="35">
        <v>0.2</v>
      </c>
      <c r="F30" s="23">
        <v>0.23</v>
      </c>
      <c r="G30" s="23">
        <v>0</v>
      </c>
      <c r="H30" s="55">
        <v>4.3388930646797393E-2</v>
      </c>
      <c r="I30" s="23">
        <v>0</v>
      </c>
      <c r="J30" s="23">
        <v>0.12</v>
      </c>
      <c r="K30" s="55">
        <f t="shared" si="0"/>
        <v>0.21333889306467979</v>
      </c>
      <c r="L30" s="52"/>
    </row>
    <row r="31" spans="1:12" ht="16.5" customHeight="1">
      <c r="A31" s="43">
        <v>29</v>
      </c>
      <c r="B31" s="1" t="s">
        <v>18</v>
      </c>
      <c r="C31" s="13">
        <v>0.2</v>
      </c>
      <c r="D31" s="23">
        <v>0.74</v>
      </c>
      <c r="E31" s="35">
        <v>0</v>
      </c>
      <c r="F31" s="23">
        <v>0.38</v>
      </c>
      <c r="G31" s="23">
        <v>0.01</v>
      </c>
      <c r="H31" s="55">
        <v>4.0383575997214802E-2</v>
      </c>
      <c r="I31" s="23">
        <v>0</v>
      </c>
      <c r="J31" s="23">
        <v>0.09</v>
      </c>
      <c r="K31" s="55">
        <f t="shared" si="0"/>
        <v>0.19953835759972149</v>
      </c>
      <c r="L31" s="52"/>
    </row>
    <row r="32" spans="1:12" ht="15.75">
      <c r="A32" s="43">
        <v>30</v>
      </c>
      <c r="B32" s="1" t="s">
        <v>23</v>
      </c>
      <c r="C32" s="13">
        <v>0.04</v>
      </c>
      <c r="D32" s="23">
        <v>0.87</v>
      </c>
      <c r="E32" s="35">
        <v>0</v>
      </c>
      <c r="F32" s="23">
        <v>0.33</v>
      </c>
      <c r="G32" s="23">
        <v>0</v>
      </c>
      <c r="H32" s="55">
        <v>1.4498495368665626E-2</v>
      </c>
      <c r="I32" s="23">
        <v>0</v>
      </c>
      <c r="J32" s="23">
        <v>0.04</v>
      </c>
      <c r="K32" s="55">
        <f t="shared" si="0"/>
        <v>0.16444984953686656</v>
      </c>
      <c r="L32" s="52"/>
    </row>
    <row r="33" spans="1:12" ht="15.75">
      <c r="A33" s="43">
        <v>31</v>
      </c>
      <c r="B33" s="1" t="s">
        <v>32</v>
      </c>
      <c r="C33" s="13">
        <v>0</v>
      </c>
      <c r="D33" s="23">
        <v>0.2</v>
      </c>
      <c r="E33" s="35">
        <v>0</v>
      </c>
      <c r="F33" s="23">
        <v>0.13</v>
      </c>
      <c r="G33" s="23">
        <v>0</v>
      </c>
      <c r="H33" s="55">
        <v>0</v>
      </c>
      <c r="I33" s="23">
        <v>0</v>
      </c>
      <c r="J33" s="23">
        <v>0</v>
      </c>
      <c r="K33" s="55">
        <f t="shared" si="0"/>
        <v>4.6000000000000006E-2</v>
      </c>
      <c r="L33" s="52"/>
    </row>
    <row r="34" spans="1:1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50" customHeight="1">
      <c r="A35" s="111" t="s">
        <v>164</v>
      </c>
      <c r="B35" s="53" t="s">
        <v>41</v>
      </c>
      <c r="C35" s="103" t="s">
        <v>110</v>
      </c>
      <c r="D35" s="103" t="s">
        <v>111</v>
      </c>
      <c r="E35" s="104" t="s">
        <v>114</v>
      </c>
      <c r="F35" s="104" t="s">
        <v>161</v>
      </c>
      <c r="G35" s="104" t="s">
        <v>152</v>
      </c>
      <c r="H35" s="104" t="s">
        <v>166</v>
      </c>
      <c r="I35" s="104" t="s">
        <v>163</v>
      </c>
      <c r="J35" s="104" t="s">
        <v>153</v>
      </c>
      <c r="K35" s="103" t="s">
        <v>154</v>
      </c>
      <c r="L35" s="36" t="s">
        <v>98</v>
      </c>
    </row>
    <row r="36" spans="1:12" ht="15.75">
      <c r="A36" s="43">
        <v>1</v>
      </c>
      <c r="B36" s="1" t="s">
        <v>34</v>
      </c>
      <c r="C36" s="33">
        <v>1.72</v>
      </c>
      <c r="D36" s="23">
        <v>1.25</v>
      </c>
      <c r="E36" s="35">
        <v>2.4300000000000002</v>
      </c>
      <c r="F36" s="23">
        <v>1.78</v>
      </c>
      <c r="G36" s="23">
        <v>0.24</v>
      </c>
      <c r="H36" s="23">
        <v>0.19</v>
      </c>
      <c r="I36" s="23">
        <v>0.24</v>
      </c>
      <c r="J36" s="23">
        <v>0.05</v>
      </c>
      <c r="K36" s="23">
        <v>0.81</v>
      </c>
      <c r="L36" s="54">
        <f>0.2*C36+0.1*D36+0.2*E36+0.2*F36+0.1*G36+0.1*(H36+I36)+0.05*J36+0.05*K36</f>
        <v>1.421</v>
      </c>
    </row>
    <row r="37" spans="1:12" ht="31.5">
      <c r="A37" s="43">
        <v>2</v>
      </c>
      <c r="B37" s="1" t="s">
        <v>36</v>
      </c>
      <c r="C37" s="33">
        <v>0.94</v>
      </c>
      <c r="D37" s="23">
        <v>1.35</v>
      </c>
      <c r="E37" s="35">
        <v>2.1800000000000002</v>
      </c>
      <c r="F37" s="23">
        <v>2.0099999999999998</v>
      </c>
      <c r="G37" s="23">
        <v>0.13</v>
      </c>
      <c r="H37" s="23">
        <v>0.37</v>
      </c>
      <c r="I37" s="23">
        <v>0.13</v>
      </c>
      <c r="J37" s="23">
        <v>0.1</v>
      </c>
      <c r="K37" s="23">
        <v>0.54</v>
      </c>
      <c r="L37" s="54">
        <f>0.2*C37+0.1*D37+0.2*E37+0.2*F37+0.1*G37+0.1*(H37+I37)+0.05*J37+0.05*K37</f>
        <v>1.2559999999999998</v>
      </c>
    </row>
    <row r="38" spans="1:12" ht="24" customHeight="1">
      <c r="A38" s="43">
        <v>3</v>
      </c>
      <c r="B38" s="1" t="s">
        <v>33</v>
      </c>
      <c r="C38" s="33">
        <v>1.51</v>
      </c>
      <c r="D38" s="23">
        <v>2.19</v>
      </c>
      <c r="E38" s="35">
        <v>1.2</v>
      </c>
      <c r="F38" s="23">
        <v>1.62</v>
      </c>
      <c r="G38" s="23">
        <v>0.38</v>
      </c>
      <c r="H38" s="23">
        <v>0.49</v>
      </c>
      <c r="I38" s="23">
        <v>0.31</v>
      </c>
      <c r="J38" s="23">
        <v>0.05</v>
      </c>
      <c r="K38" s="23">
        <v>0.12</v>
      </c>
      <c r="L38" s="54">
        <f>0.2*C38+0.1*D38+0.2*E38+0.2*F38+0.1*G38+0.1*(H38+I38)+0.05*J38+0.05*K38</f>
        <v>1.2115</v>
      </c>
    </row>
    <row r="39" spans="1:12" ht="31.5">
      <c r="A39" s="43">
        <v>4</v>
      </c>
      <c r="B39" s="1" t="s">
        <v>35</v>
      </c>
      <c r="C39" s="33">
        <v>0.55000000000000004</v>
      </c>
      <c r="D39" s="23">
        <v>1.54</v>
      </c>
      <c r="E39" s="35">
        <v>1.32</v>
      </c>
      <c r="F39" s="23">
        <v>2.2400000000000002</v>
      </c>
      <c r="G39" s="23">
        <v>0.25</v>
      </c>
      <c r="H39" s="23">
        <v>-0.05</v>
      </c>
      <c r="I39" s="23">
        <v>0.32</v>
      </c>
      <c r="J39" s="23">
        <v>0.03</v>
      </c>
      <c r="K39" s="23">
        <v>0.54</v>
      </c>
      <c r="L39" s="54">
        <f>0.2*C39+0.1*D39+0.2*E39+0.2*F39+0.1*G39+0.1*(H39+I39)+0.05*J39+0.05*K39</f>
        <v>1.0565</v>
      </c>
    </row>
  </sheetData>
  <sortState ref="B3:K33">
    <sortCondition descending="1" ref="K3:K33"/>
  </sortState>
  <mergeCells count="1">
    <mergeCell ref="A1:K1"/>
  </mergeCells>
  <phoneticPr fontId="5" type="noConversion"/>
  <pageMargins left="0.27559055118110237" right="0.19685039370078741" top="0.35433070866141736" bottom="0.35433070866141736" header="0.31496062992125984" footer="0.23622047244094491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38"/>
  <sheetViews>
    <sheetView zoomScale="70" zoomScaleNormal="70" workbookViewId="0">
      <selection activeCell="G34" sqref="G34"/>
    </sheetView>
  </sheetViews>
  <sheetFormatPr defaultRowHeight="12.75"/>
  <cols>
    <col min="1" max="1" width="7" customWidth="1"/>
    <col min="2" max="2" width="54.42578125" customWidth="1"/>
    <col min="3" max="3" width="27" customWidth="1"/>
    <col min="4" max="4" width="20.42578125" customWidth="1"/>
    <col min="5" max="5" width="21.42578125" customWidth="1"/>
    <col min="6" max="7" width="22.28515625" customWidth="1"/>
  </cols>
  <sheetData>
    <row r="2" spans="1:7" ht="41.25" customHeight="1">
      <c r="B2" s="60" t="s">
        <v>90</v>
      </c>
      <c r="C2" s="7"/>
      <c r="D2" s="7"/>
      <c r="E2" s="7"/>
    </row>
    <row r="3" spans="1:7" ht="128.25" customHeight="1">
      <c r="A3" s="43" t="s">
        <v>99</v>
      </c>
      <c r="B3" s="57" t="s">
        <v>0</v>
      </c>
      <c r="C3" s="57" t="s">
        <v>92</v>
      </c>
      <c r="D3" s="57" t="s">
        <v>93</v>
      </c>
      <c r="E3" s="57" t="s">
        <v>94</v>
      </c>
      <c r="F3" s="57" t="s">
        <v>95</v>
      </c>
      <c r="G3" s="57" t="s">
        <v>96</v>
      </c>
    </row>
    <row r="4" spans="1:7" s="10" customFormat="1" ht="15.75">
      <c r="A4" s="46">
        <v>1</v>
      </c>
      <c r="B4" s="9" t="s">
        <v>11</v>
      </c>
      <c r="C4" s="77">
        <v>1</v>
      </c>
      <c r="D4" s="77">
        <v>5</v>
      </c>
      <c r="E4" s="77">
        <v>10</v>
      </c>
      <c r="F4" s="76">
        <v>56</v>
      </c>
      <c r="G4" s="35">
        <f t="shared" ref="G4:G27" si="0">C4/D4+0.5*E4/F4</f>
        <v>0.28928571428571431</v>
      </c>
    </row>
    <row r="5" spans="1:7" s="10" customFormat="1" ht="15.75" customHeight="1">
      <c r="A5" s="46">
        <v>2</v>
      </c>
      <c r="B5" s="9" t="s">
        <v>8</v>
      </c>
      <c r="C5" s="77">
        <v>1</v>
      </c>
      <c r="D5" s="77">
        <v>5</v>
      </c>
      <c r="E5" s="77">
        <v>8</v>
      </c>
      <c r="F5" s="76">
        <v>52</v>
      </c>
      <c r="G5" s="35">
        <f t="shared" si="0"/>
        <v>0.27692307692307694</v>
      </c>
    </row>
    <row r="6" spans="1:7" s="10" customFormat="1" ht="15.75">
      <c r="A6" s="46">
        <v>3</v>
      </c>
      <c r="B6" s="9" t="s">
        <v>9</v>
      </c>
      <c r="C6" s="77">
        <v>1</v>
      </c>
      <c r="D6" s="77">
        <v>5</v>
      </c>
      <c r="E6" s="77">
        <v>9</v>
      </c>
      <c r="F6" s="76">
        <v>69</v>
      </c>
      <c r="G6" s="35">
        <f t="shared" si="0"/>
        <v>0.26521739130434785</v>
      </c>
    </row>
    <row r="7" spans="1:7" s="10" customFormat="1" ht="19.5" customHeight="1">
      <c r="A7" s="46">
        <v>4</v>
      </c>
      <c r="B7" s="9" t="s">
        <v>133</v>
      </c>
      <c r="C7" s="77">
        <v>1</v>
      </c>
      <c r="D7" s="77">
        <v>5</v>
      </c>
      <c r="E7" s="77">
        <v>8</v>
      </c>
      <c r="F7" s="76">
        <v>67</v>
      </c>
      <c r="G7" s="35">
        <f t="shared" si="0"/>
        <v>0.25970149253731345</v>
      </c>
    </row>
    <row r="8" spans="1:7" s="10" customFormat="1" ht="13.5" customHeight="1">
      <c r="A8" s="46">
        <v>5</v>
      </c>
      <c r="B8" s="9" t="s">
        <v>14</v>
      </c>
      <c r="C8" s="77">
        <v>1</v>
      </c>
      <c r="D8" s="77">
        <v>5</v>
      </c>
      <c r="E8" s="77">
        <v>14</v>
      </c>
      <c r="F8" s="76">
        <v>128</v>
      </c>
      <c r="G8" s="35">
        <f t="shared" si="0"/>
        <v>0.25468750000000001</v>
      </c>
    </row>
    <row r="9" spans="1:7" s="10" customFormat="1" ht="15.75" customHeight="1">
      <c r="A9" s="46">
        <v>6</v>
      </c>
      <c r="B9" s="9" t="s">
        <v>12</v>
      </c>
      <c r="C9" s="77">
        <v>0</v>
      </c>
      <c r="D9" s="77">
        <v>5</v>
      </c>
      <c r="E9" s="77">
        <v>16</v>
      </c>
      <c r="F9" s="76">
        <v>56</v>
      </c>
      <c r="G9" s="35">
        <f t="shared" si="0"/>
        <v>0.14285714285714285</v>
      </c>
    </row>
    <row r="10" spans="1:7" s="10" customFormat="1" ht="31.5" customHeight="1">
      <c r="A10" s="46">
        <v>7</v>
      </c>
      <c r="B10" s="9" t="s">
        <v>7</v>
      </c>
      <c r="C10" s="77">
        <v>0</v>
      </c>
      <c r="D10" s="77">
        <v>5</v>
      </c>
      <c r="E10" s="77">
        <v>10</v>
      </c>
      <c r="F10" s="76">
        <v>39</v>
      </c>
      <c r="G10" s="35">
        <f t="shared" si="0"/>
        <v>0.12820512820512819</v>
      </c>
    </row>
    <row r="11" spans="1:7" s="10" customFormat="1" ht="15.75">
      <c r="A11" s="46">
        <v>8</v>
      </c>
      <c r="B11" s="9" t="s">
        <v>112</v>
      </c>
      <c r="C11" s="77">
        <v>0</v>
      </c>
      <c r="D11" s="77">
        <v>5</v>
      </c>
      <c r="E11" s="77">
        <v>6</v>
      </c>
      <c r="F11" s="76">
        <v>33</v>
      </c>
      <c r="G11" s="35">
        <f t="shared" si="0"/>
        <v>9.0909090909090912E-2</v>
      </c>
    </row>
    <row r="12" spans="1:7" s="10" customFormat="1" ht="13.5" customHeight="1">
      <c r="A12" s="46">
        <v>9</v>
      </c>
      <c r="B12" s="9" t="s">
        <v>21</v>
      </c>
      <c r="C12" s="84">
        <v>0</v>
      </c>
      <c r="D12" s="77">
        <v>5</v>
      </c>
      <c r="E12" s="77">
        <v>3</v>
      </c>
      <c r="F12" s="76">
        <v>19</v>
      </c>
      <c r="G12" s="35">
        <f t="shared" si="0"/>
        <v>7.8947368421052627E-2</v>
      </c>
    </row>
    <row r="13" spans="1:7" s="10" customFormat="1" ht="31.5">
      <c r="A13" s="46">
        <v>10</v>
      </c>
      <c r="B13" s="9" t="s">
        <v>5</v>
      </c>
      <c r="C13" s="77">
        <v>0</v>
      </c>
      <c r="D13" s="77">
        <v>5</v>
      </c>
      <c r="E13" s="77">
        <v>6</v>
      </c>
      <c r="F13" s="76">
        <v>40</v>
      </c>
      <c r="G13" s="35">
        <f t="shared" si="0"/>
        <v>7.4999999999999997E-2</v>
      </c>
    </row>
    <row r="14" spans="1:7" s="10" customFormat="1" ht="15.75">
      <c r="A14" s="46">
        <v>11</v>
      </c>
      <c r="B14" s="9" t="s">
        <v>15</v>
      </c>
      <c r="C14" s="84">
        <v>0</v>
      </c>
      <c r="D14" s="77">
        <v>5</v>
      </c>
      <c r="E14" s="84">
        <v>5</v>
      </c>
      <c r="F14" s="76">
        <v>34</v>
      </c>
      <c r="G14" s="35">
        <f t="shared" si="0"/>
        <v>7.3529411764705885E-2</v>
      </c>
    </row>
    <row r="15" spans="1:7" s="10" customFormat="1" ht="16.5" customHeight="1">
      <c r="A15" s="46">
        <v>12</v>
      </c>
      <c r="B15" s="9" t="s">
        <v>20</v>
      </c>
      <c r="C15" s="84">
        <v>0</v>
      </c>
      <c r="D15" s="77">
        <v>5</v>
      </c>
      <c r="E15" s="77">
        <v>5</v>
      </c>
      <c r="F15" s="76">
        <v>34</v>
      </c>
      <c r="G15" s="35">
        <f t="shared" si="0"/>
        <v>7.3529411764705885E-2</v>
      </c>
    </row>
    <row r="16" spans="1:7" s="10" customFormat="1" ht="16.5" customHeight="1">
      <c r="A16" s="46">
        <v>13</v>
      </c>
      <c r="B16" s="9" t="s">
        <v>13</v>
      </c>
      <c r="C16" s="84">
        <v>0</v>
      </c>
      <c r="D16" s="77">
        <v>5</v>
      </c>
      <c r="E16" s="84">
        <v>13</v>
      </c>
      <c r="F16" s="76">
        <v>90</v>
      </c>
      <c r="G16" s="35">
        <f t="shared" si="0"/>
        <v>7.2222222222222215E-2</v>
      </c>
    </row>
    <row r="17" spans="1:7" s="10" customFormat="1" ht="15.75">
      <c r="A17" s="46">
        <v>14</v>
      </c>
      <c r="B17" s="9" t="s">
        <v>10</v>
      </c>
      <c r="C17" s="77">
        <v>0</v>
      </c>
      <c r="D17" s="77">
        <v>5</v>
      </c>
      <c r="E17" s="77">
        <v>8</v>
      </c>
      <c r="F17" s="76">
        <v>58</v>
      </c>
      <c r="G17" s="35">
        <f t="shared" si="0"/>
        <v>6.8965517241379309E-2</v>
      </c>
    </row>
    <row r="18" spans="1:7" s="10" customFormat="1" ht="17.25" customHeight="1">
      <c r="A18" s="46">
        <v>15</v>
      </c>
      <c r="B18" s="9" t="s">
        <v>6</v>
      </c>
      <c r="C18" s="77">
        <v>0</v>
      </c>
      <c r="D18" s="77">
        <v>5</v>
      </c>
      <c r="E18" s="77">
        <v>6</v>
      </c>
      <c r="F18" s="76">
        <v>48</v>
      </c>
      <c r="G18" s="35">
        <f t="shared" si="0"/>
        <v>6.25E-2</v>
      </c>
    </row>
    <row r="19" spans="1:7" s="10" customFormat="1" ht="17.25" customHeight="1">
      <c r="A19" s="46">
        <v>16</v>
      </c>
      <c r="B19" s="9" t="s">
        <v>29</v>
      </c>
      <c r="C19" s="77">
        <v>0</v>
      </c>
      <c r="D19" s="77">
        <v>5</v>
      </c>
      <c r="E19" s="84">
        <v>3</v>
      </c>
      <c r="F19" s="76">
        <v>28</v>
      </c>
      <c r="G19" s="35">
        <f t="shared" si="0"/>
        <v>5.3571428571428568E-2</v>
      </c>
    </row>
    <row r="20" spans="1:7" s="10" customFormat="1" ht="18" customHeight="1">
      <c r="A20" s="46">
        <v>17</v>
      </c>
      <c r="B20" s="9" t="s">
        <v>31</v>
      </c>
      <c r="C20" s="77">
        <v>0</v>
      </c>
      <c r="D20" s="77">
        <v>5</v>
      </c>
      <c r="E20" s="77">
        <v>5</v>
      </c>
      <c r="F20" s="76">
        <v>48</v>
      </c>
      <c r="G20" s="35">
        <f t="shared" si="0"/>
        <v>5.2083333333333336E-2</v>
      </c>
    </row>
    <row r="21" spans="1:7" s="10" customFormat="1" ht="18" customHeight="1">
      <c r="A21" s="46">
        <v>18</v>
      </c>
      <c r="B21" s="9" t="s">
        <v>25</v>
      </c>
      <c r="C21" s="84">
        <v>0</v>
      </c>
      <c r="D21" s="77">
        <v>5</v>
      </c>
      <c r="E21" s="77">
        <v>12</v>
      </c>
      <c r="F21" s="76">
        <v>122</v>
      </c>
      <c r="G21" s="35">
        <f t="shared" si="0"/>
        <v>4.9180327868852458E-2</v>
      </c>
    </row>
    <row r="22" spans="1:7" s="10" customFormat="1" ht="15.75">
      <c r="A22" s="46">
        <v>19</v>
      </c>
      <c r="B22" s="9" t="s">
        <v>27</v>
      </c>
      <c r="C22" s="77">
        <v>0</v>
      </c>
      <c r="D22" s="77">
        <v>5</v>
      </c>
      <c r="E22" s="77">
        <v>3</v>
      </c>
      <c r="F22" s="76">
        <v>34</v>
      </c>
      <c r="G22" s="35">
        <f t="shared" si="0"/>
        <v>4.4117647058823532E-2</v>
      </c>
    </row>
    <row r="23" spans="1:7" s="10" customFormat="1" ht="29.25" customHeight="1">
      <c r="A23" s="46">
        <v>20</v>
      </c>
      <c r="B23" s="9" t="s">
        <v>4</v>
      </c>
      <c r="C23" s="77">
        <v>0</v>
      </c>
      <c r="D23" s="77">
        <v>5</v>
      </c>
      <c r="E23" s="77">
        <v>5</v>
      </c>
      <c r="F23" s="76">
        <v>57</v>
      </c>
      <c r="G23" s="35">
        <f t="shared" si="0"/>
        <v>4.3859649122807015E-2</v>
      </c>
    </row>
    <row r="24" spans="1:7" s="10" customFormat="1" ht="18" customHeight="1">
      <c r="A24" s="46">
        <v>21</v>
      </c>
      <c r="B24" s="9" t="s">
        <v>19</v>
      </c>
      <c r="C24" s="84">
        <v>0</v>
      </c>
      <c r="D24" s="77">
        <v>5</v>
      </c>
      <c r="E24" s="77">
        <v>8</v>
      </c>
      <c r="F24" s="76">
        <v>103</v>
      </c>
      <c r="G24" s="35">
        <f t="shared" si="0"/>
        <v>3.8834951456310676E-2</v>
      </c>
    </row>
    <row r="25" spans="1:7" s="10" customFormat="1" ht="15.75">
      <c r="A25" s="46">
        <v>22</v>
      </c>
      <c r="B25" s="9" t="s">
        <v>26</v>
      </c>
      <c r="C25" s="77">
        <v>0</v>
      </c>
      <c r="D25" s="77">
        <v>5</v>
      </c>
      <c r="E25" s="77">
        <v>8</v>
      </c>
      <c r="F25" s="76">
        <v>107</v>
      </c>
      <c r="G25" s="35">
        <f t="shared" si="0"/>
        <v>3.7383177570093455E-2</v>
      </c>
    </row>
    <row r="26" spans="1:7" s="10" customFormat="1" ht="16.5" customHeight="1">
      <c r="A26" s="46">
        <v>23</v>
      </c>
      <c r="B26" s="9" t="s">
        <v>28</v>
      </c>
      <c r="C26" s="77">
        <v>0</v>
      </c>
      <c r="D26" s="77">
        <v>5</v>
      </c>
      <c r="E26" s="77">
        <v>1</v>
      </c>
      <c r="F26" s="76">
        <v>44</v>
      </c>
      <c r="G26" s="35">
        <f t="shared" si="0"/>
        <v>1.1363636363636364E-2</v>
      </c>
    </row>
    <row r="27" spans="1:7" s="10" customFormat="1" ht="15" customHeight="1">
      <c r="A27" s="46">
        <v>24</v>
      </c>
      <c r="B27" s="9" t="s">
        <v>24</v>
      </c>
      <c r="C27" s="84">
        <v>0</v>
      </c>
      <c r="D27" s="77">
        <v>5</v>
      </c>
      <c r="E27" s="77">
        <v>0</v>
      </c>
      <c r="F27" s="76">
        <v>20</v>
      </c>
      <c r="G27" s="35">
        <f t="shared" si="0"/>
        <v>0</v>
      </c>
    </row>
    <row r="28" spans="1:7" s="10" customFormat="1" ht="15.75">
      <c r="A28" s="80"/>
      <c r="B28" s="81" t="s">
        <v>49</v>
      </c>
      <c r="C28" s="85">
        <f>SUM(C4:C27)</f>
        <v>5</v>
      </c>
      <c r="D28" s="85"/>
      <c r="E28" s="85">
        <f>SUM(E4:E27)</f>
        <v>172</v>
      </c>
      <c r="F28" s="82">
        <f>SUM(F4:F27)</f>
        <v>1386</v>
      </c>
      <c r="G28" s="83"/>
    </row>
    <row r="29" spans="1:7" ht="46.5" customHeight="1">
      <c r="A29" s="37"/>
      <c r="B29" s="72" t="s">
        <v>91</v>
      </c>
      <c r="C29" s="42"/>
      <c r="D29" s="42"/>
      <c r="E29" s="42"/>
      <c r="F29" s="37"/>
      <c r="G29" s="37"/>
    </row>
    <row r="30" spans="1:7" ht="121.5" customHeight="1">
      <c r="A30" s="43" t="s">
        <v>99</v>
      </c>
      <c r="B30" s="57" t="s">
        <v>41</v>
      </c>
      <c r="C30" s="57" t="s">
        <v>92</v>
      </c>
      <c r="D30" s="57" t="s">
        <v>93</v>
      </c>
      <c r="E30" s="57" t="s">
        <v>94</v>
      </c>
      <c r="F30" s="57" t="s">
        <v>95</v>
      </c>
      <c r="G30" s="57" t="s">
        <v>96</v>
      </c>
    </row>
    <row r="31" spans="1:7" ht="15.75">
      <c r="A31" s="43">
        <v>1</v>
      </c>
      <c r="B31" s="3" t="s">
        <v>34</v>
      </c>
      <c r="C31" s="25">
        <v>2</v>
      </c>
      <c r="D31" s="25">
        <v>5</v>
      </c>
      <c r="E31" s="25">
        <v>69</v>
      </c>
      <c r="F31" s="28">
        <v>442</v>
      </c>
      <c r="G31" s="23">
        <f>C31/D31+0.5*(E31/F31)</f>
        <v>0.47805429864253396</v>
      </c>
    </row>
    <row r="32" spans="1:7" ht="15.75">
      <c r="A32" s="43">
        <v>2</v>
      </c>
      <c r="B32" s="3" t="s">
        <v>33</v>
      </c>
      <c r="C32" s="25">
        <v>2</v>
      </c>
      <c r="D32" s="25">
        <v>5</v>
      </c>
      <c r="E32" s="25">
        <v>45</v>
      </c>
      <c r="F32" s="28">
        <v>351</v>
      </c>
      <c r="G32" s="23">
        <f>C32/D32+0.5*(E32/F32)</f>
        <v>0.46410256410256412</v>
      </c>
    </row>
    <row r="33" spans="1:7" ht="30" customHeight="1">
      <c r="A33" s="43">
        <v>3</v>
      </c>
      <c r="B33" s="3" t="s">
        <v>36</v>
      </c>
      <c r="C33" s="25">
        <v>1</v>
      </c>
      <c r="D33" s="25">
        <v>5</v>
      </c>
      <c r="E33" s="25">
        <v>31</v>
      </c>
      <c r="F33" s="28">
        <v>325</v>
      </c>
      <c r="G33" s="23">
        <f>C33/D33+0.5*(E33/F33)</f>
        <v>0.24769230769230771</v>
      </c>
    </row>
    <row r="34" spans="1:7" ht="33.75" customHeight="1">
      <c r="A34" s="43">
        <v>4</v>
      </c>
      <c r="B34" s="3" t="s">
        <v>35</v>
      </c>
      <c r="C34" s="25">
        <v>0</v>
      </c>
      <c r="D34" s="25">
        <v>5</v>
      </c>
      <c r="E34" s="25">
        <v>27</v>
      </c>
      <c r="F34" s="28">
        <v>268</v>
      </c>
      <c r="G34" s="23">
        <f>C34/D34+0.5*(E34/F34)</f>
        <v>5.0373134328358209E-2</v>
      </c>
    </row>
    <row r="35" spans="1:7" ht="15.75">
      <c r="B35" s="47" t="s">
        <v>49</v>
      </c>
      <c r="C35" s="31">
        <f>SUM(C31:C34)</f>
        <v>5</v>
      </c>
      <c r="D35" s="86"/>
      <c r="E35" s="31">
        <f>SUM(E31:E34)</f>
        <v>172</v>
      </c>
      <c r="F35" s="31">
        <f>SUM(F31:F34)</f>
        <v>1386</v>
      </c>
      <c r="G35" s="15"/>
    </row>
    <row r="37" spans="1:7" ht="15.75">
      <c r="C37" s="5"/>
    </row>
    <row r="38" spans="1:7" ht="15.75">
      <c r="C38" s="5"/>
    </row>
  </sheetData>
  <sortState ref="B4:G27">
    <sortCondition descending="1" ref="G4:G27"/>
  </sortState>
  <phoneticPr fontId="5" type="noConversion"/>
  <pageMargins left="0.38" right="0.42" top="0.46" bottom="0.4" header="0.43" footer="0.32"/>
  <pageSetup paperSize="9" scale="8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="70" zoomScaleNormal="70" workbookViewId="0"/>
  </sheetViews>
  <sheetFormatPr defaultRowHeight="12.75"/>
  <cols>
    <col min="1" max="1" width="4.5703125" customWidth="1"/>
    <col min="2" max="2" width="51.7109375" customWidth="1"/>
    <col min="3" max="3" width="19.5703125" customWidth="1"/>
    <col min="4" max="4" width="20.28515625" customWidth="1"/>
    <col min="5" max="5" width="15.28515625" customWidth="1"/>
    <col min="6" max="6" width="16.85546875" customWidth="1"/>
    <col min="7" max="7" width="15.85546875" customWidth="1"/>
    <col min="8" max="8" width="16" customWidth="1"/>
    <col min="9" max="9" width="26.7109375" customWidth="1"/>
    <col min="10" max="10" width="15.85546875" customWidth="1"/>
    <col min="11" max="11" width="18" customWidth="1"/>
  </cols>
  <sheetData>
    <row r="1" spans="1:11" ht="48.75" customHeight="1">
      <c r="B1" s="127" t="s">
        <v>116</v>
      </c>
      <c r="C1" s="133"/>
      <c r="D1" s="4"/>
      <c r="F1" s="7"/>
      <c r="G1" s="7"/>
      <c r="H1" s="7"/>
      <c r="I1" s="7"/>
      <c r="J1" s="7"/>
      <c r="K1" s="7"/>
    </row>
    <row r="2" spans="1:11" ht="108" customHeight="1">
      <c r="A2" s="111" t="s">
        <v>138</v>
      </c>
      <c r="B2" s="57" t="s">
        <v>0</v>
      </c>
      <c r="C2" s="57" t="s">
        <v>167</v>
      </c>
      <c r="D2" s="57" t="s">
        <v>151</v>
      </c>
      <c r="E2" s="57" t="s">
        <v>168</v>
      </c>
      <c r="F2" s="57" t="s">
        <v>57</v>
      </c>
      <c r="G2" s="57" t="s">
        <v>169</v>
      </c>
      <c r="H2" s="57" t="s">
        <v>59</v>
      </c>
      <c r="I2" s="57" t="s">
        <v>60</v>
      </c>
      <c r="J2" s="57" t="s">
        <v>61</v>
      </c>
      <c r="K2" s="57" t="s">
        <v>148</v>
      </c>
    </row>
    <row r="3" spans="1:11" ht="31.5">
      <c r="A3" s="43">
        <v>1</v>
      </c>
      <c r="B3" s="9" t="s">
        <v>5</v>
      </c>
      <c r="C3" s="75">
        <v>18</v>
      </c>
      <c r="D3" s="25">
        <v>20</v>
      </c>
      <c r="E3" s="11">
        <v>20</v>
      </c>
      <c r="F3" s="11">
        <v>25</v>
      </c>
      <c r="G3" s="25">
        <v>1604</v>
      </c>
      <c r="H3" s="28">
        <v>5659</v>
      </c>
      <c r="I3" s="76">
        <v>1</v>
      </c>
      <c r="J3" s="28">
        <f t="shared" ref="J3:J33" si="0">$I$34</f>
        <v>19</v>
      </c>
      <c r="K3" s="23">
        <f t="shared" ref="K3:K33" si="1">C3/D3+E3/F3+G3/H3+I3/J3</f>
        <v>2.0360738832414134</v>
      </c>
    </row>
    <row r="4" spans="1:11" s="10" customFormat="1" ht="20.25" customHeight="1">
      <c r="A4" s="46">
        <v>2</v>
      </c>
      <c r="B4" s="149" t="s">
        <v>133</v>
      </c>
      <c r="C4" s="75">
        <v>11</v>
      </c>
      <c r="D4" s="25">
        <v>20</v>
      </c>
      <c r="E4" s="77">
        <v>13</v>
      </c>
      <c r="F4" s="11">
        <v>25</v>
      </c>
      <c r="G4" s="77">
        <v>916</v>
      </c>
      <c r="H4" s="28">
        <v>5659</v>
      </c>
      <c r="I4" s="76">
        <v>2</v>
      </c>
      <c r="J4" s="28">
        <f t="shared" si="0"/>
        <v>19</v>
      </c>
      <c r="K4" s="35">
        <f t="shared" si="1"/>
        <v>1.3371292119678948</v>
      </c>
    </row>
    <row r="5" spans="1:11" s="10" customFormat="1" ht="31.5">
      <c r="A5" s="43">
        <v>3</v>
      </c>
      <c r="B5" s="9" t="s">
        <v>7</v>
      </c>
      <c r="C5" s="75">
        <v>9</v>
      </c>
      <c r="D5" s="25">
        <v>20</v>
      </c>
      <c r="E5" s="77">
        <v>15</v>
      </c>
      <c r="F5" s="11">
        <v>25</v>
      </c>
      <c r="G5" s="77">
        <v>950</v>
      </c>
      <c r="H5" s="28">
        <v>5659</v>
      </c>
      <c r="I5" s="76">
        <v>1</v>
      </c>
      <c r="J5" s="28">
        <f t="shared" si="0"/>
        <v>19</v>
      </c>
      <c r="K5" s="35">
        <f t="shared" si="1"/>
        <v>1.2705057616651632</v>
      </c>
    </row>
    <row r="6" spans="1:11" s="10" customFormat="1" ht="31.5">
      <c r="A6" s="46">
        <v>4</v>
      </c>
      <c r="B6" s="9" t="s">
        <v>4</v>
      </c>
      <c r="C6" s="75">
        <v>4</v>
      </c>
      <c r="D6" s="25">
        <v>20</v>
      </c>
      <c r="E6" s="77">
        <v>16</v>
      </c>
      <c r="F6" s="11">
        <v>25</v>
      </c>
      <c r="G6" s="77">
        <v>1633</v>
      </c>
      <c r="H6" s="28">
        <v>5659</v>
      </c>
      <c r="I6" s="76">
        <v>1</v>
      </c>
      <c r="J6" s="28">
        <f t="shared" si="0"/>
        <v>19</v>
      </c>
      <c r="K6" s="35">
        <f t="shared" si="1"/>
        <v>1.1811984635559565</v>
      </c>
    </row>
    <row r="7" spans="1:11" s="10" customFormat="1" ht="15.75">
      <c r="A7" s="43">
        <v>5</v>
      </c>
      <c r="B7" s="9" t="s">
        <v>25</v>
      </c>
      <c r="C7" s="75">
        <v>7</v>
      </c>
      <c r="D7" s="25">
        <v>20</v>
      </c>
      <c r="E7" s="77">
        <v>12</v>
      </c>
      <c r="F7" s="11">
        <v>25</v>
      </c>
      <c r="G7" s="77">
        <v>871</v>
      </c>
      <c r="H7" s="28">
        <v>5659</v>
      </c>
      <c r="I7" s="76">
        <v>1</v>
      </c>
      <c r="J7" s="28">
        <f t="shared" si="0"/>
        <v>19</v>
      </c>
      <c r="K7" s="35">
        <f t="shared" si="1"/>
        <v>1.0365456980496832</v>
      </c>
    </row>
    <row r="8" spans="1:11" s="10" customFormat="1" ht="15.75">
      <c r="A8" s="46">
        <v>6</v>
      </c>
      <c r="B8" s="9" t="s">
        <v>19</v>
      </c>
      <c r="C8" s="75">
        <v>6</v>
      </c>
      <c r="D8" s="25">
        <v>20</v>
      </c>
      <c r="E8" s="77">
        <v>11</v>
      </c>
      <c r="F8" s="11">
        <v>25</v>
      </c>
      <c r="G8" s="77">
        <v>746</v>
      </c>
      <c r="H8" s="28">
        <v>5659</v>
      </c>
      <c r="I8" s="76">
        <v>1</v>
      </c>
      <c r="J8" s="28">
        <f t="shared" si="0"/>
        <v>19</v>
      </c>
      <c r="K8" s="35">
        <f t="shared" si="1"/>
        <v>0.92445698979734181</v>
      </c>
    </row>
    <row r="9" spans="1:11" s="10" customFormat="1" ht="15.75">
      <c r="A9" s="43">
        <v>7</v>
      </c>
      <c r="B9" s="9" t="s">
        <v>13</v>
      </c>
      <c r="C9" s="75">
        <v>9</v>
      </c>
      <c r="D9" s="25">
        <v>20</v>
      </c>
      <c r="E9" s="84">
        <v>8</v>
      </c>
      <c r="F9" s="11">
        <v>25</v>
      </c>
      <c r="G9" s="84">
        <v>393</v>
      </c>
      <c r="H9" s="28">
        <v>5659</v>
      </c>
      <c r="I9" s="76">
        <v>1</v>
      </c>
      <c r="J9" s="28">
        <f t="shared" si="0"/>
        <v>19</v>
      </c>
      <c r="K9" s="35">
        <f t="shared" si="1"/>
        <v>0.89207847769272974</v>
      </c>
    </row>
    <row r="10" spans="1:11" s="10" customFormat="1" ht="15.75">
      <c r="A10" s="46">
        <v>8</v>
      </c>
      <c r="B10" s="9" t="s">
        <v>28</v>
      </c>
      <c r="C10" s="148">
        <v>11</v>
      </c>
      <c r="D10" s="25">
        <v>20</v>
      </c>
      <c r="E10" s="77">
        <v>6</v>
      </c>
      <c r="F10" s="11">
        <v>25</v>
      </c>
      <c r="G10" s="77">
        <v>290</v>
      </c>
      <c r="H10" s="28">
        <v>5659</v>
      </c>
      <c r="I10" s="76">
        <v>0</v>
      </c>
      <c r="J10" s="28">
        <f t="shared" si="0"/>
        <v>19</v>
      </c>
      <c r="K10" s="35">
        <f t="shared" si="1"/>
        <v>0.84124580314543207</v>
      </c>
    </row>
    <row r="11" spans="1:11" s="10" customFormat="1" ht="15.75">
      <c r="A11" s="43">
        <v>9</v>
      </c>
      <c r="B11" s="9" t="s">
        <v>8</v>
      </c>
      <c r="C11" s="75">
        <v>2</v>
      </c>
      <c r="D11" s="25">
        <v>20</v>
      </c>
      <c r="E11" s="77">
        <v>13</v>
      </c>
      <c r="F11" s="11">
        <v>25</v>
      </c>
      <c r="G11" s="77">
        <v>942</v>
      </c>
      <c r="H11" s="28">
        <v>5659</v>
      </c>
      <c r="I11" s="76">
        <v>1</v>
      </c>
      <c r="J11" s="28">
        <f t="shared" si="0"/>
        <v>19</v>
      </c>
      <c r="K11" s="35">
        <f t="shared" si="1"/>
        <v>0.83909208433701332</v>
      </c>
    </row>
    <row r="12" spans="1:11" s="10" customFormat="1" ht="15.75">
      <c r="A12" s="46">
        <v>10</v>
      </c>
      <c r="B12" s="9" t="s">
        <v>14</v>
      </c>
      <c r="C12" s="75">
        <v>11</v>
      </c>
      <c r="D12" s="25">
        <v>20</v>
      </c>
      <c r="E12" s="84">
        <v>6</v>
      </c>
      <c r="F12" s="11">
        <v>25</v>
      </c>
      <c r="G12" s="84">
        <v>247</v>
      </c>
      <c r="H12" s="28">
        <v>5659</v>
      </c>
      <c r="I12" s="76">
        <v>0</v>
      </c>
      <c r="J12" s="28">
        <f t="shared" si="0"/>
        <v>19</v>
      </c>
      <c r="K12" s="35">
        <f t="shared" si="1"/>
        <v>0.83364728750662664</v>
      </c>
    </row>
    <row r="13" spans="1:11" s="10" customFormat="1" ht="16.5" customHeight="1">
      <c r="A13" s="43">
        <v>11</v>
      </c>
      <c r="B13" s="9" t="s">
        <v>9</v>
      </c>
      <c r="C13" s="75">
        <v>3</v>
      </c>
      <c r="D13" s="25">
        <v>20</v>
      </c>
      <c r="E13" s="77">
        <v>12</v>
      </c>
      <c r="F13" s="11">
        <v>25</v>
      </c>
      <c r="G13" s="77">
        <v>655</v>
      </c>
      <c r="H13" s="28">
        <v>5659</v>
      </c>
      <c r="I13" s="76">
        <v>1</v>
      </c>
      <c r="J13" s="28">
        <f t="shared" si="0"/>
        <v>19</v>
      </c>
      <c r="K13" s="35">
        <f t="shared" si="1"/>
        <v>0.79837641018963734</v>
      </c>
    </row>
    <row r="14" spans="1:11" s="10" customFormat="1" ht="15.75">
      <c r="A14" s="46">
        <v>12</v>
      </c>
      <c r="B14" s="9" t="s">
        <v>11</v>
      </c>
      <c r="C14" s="75">
        <v>8</v>
      </c>
      <c r="D14" s="25">
        <v>20</v>
      </c>
      <c r="E14" s="77">
        <v>7</v>
      </c>
      <c r="F14" s="11">
        <v>25</v>
      </c>
      <c r="G14" s="77">
        <v>190</v>
      </c>
      <c r="H14" s="28">
        <v>5659</v>
      </c>
      <c r="I14" s="76">
        <v>1</v>
      </c>
      <c r="J14" s="28">
        <f t="shared" si="0"/>
        <v>19</v>
      </c>
      <c r="K14" s="35">
        <f t="shared" si="1"/>
        <v>0.76620641549092738</v>
      </c>
    </row>
    <row r="15" spans="1:11" s="10" customFormat="1" ht="15.75">
      <c r="A15" s="43">
        <v>13</v>
      </c>
      <c r="B15" s="9" t="s">
        <v>16</v>
      </c>
      <c r="C15" s="75">
        <v>8</v>
      </c>
      <c r="D15" s="25">
        <v>20</v>
      </c>
      <c r="E15" s="84">
        <v>8</v>
      </c>
      <c r="F15" s="11">
        <v>25</v>
      </c>
      <c r="G15" s="84">
        <v>228</v>
      </c>
      <c r="H15" s="28">
        <v>5659</v>
      </c>
      <c r="I15" s="76">
        <v>0</v>
      </c>
      <c r="J15" s="28">
        <f t="shared" si="0"/>
        <v>19</v>
      </c>
      <c r="K15" s="35">
        <f t="shared" si="1"/>
        <v>0.76028980385227074</v>
      </c>
    </row>
    <row r="16" spans="1:11" s="10" customFormat="1" ht="15.75">
      <c r="A16" s="46">
        <v>14</v>
      </c>
      <c r="B16" s="9" t="s">
        <v>12</v>
      </c>
      <c r="C16" s="75">
        <v>4</v>
      </c>
      <c r="D16" s="25">
        <v>20</v>
      </c>
      <c r="E16" s="77">
        <v>10</v>
      </c>
      <c r="F16" s="11">
        <v>25</v>
      </c>
      <c r="G16" s="77">
        <v>491</v>
      </c>
      <c r="H16" s="28">
        <v>5659</v>
      </c>
      <c r="I16" s="76">
        <v>1</v>
      </c>
      <c r="J16" s="28">
        <f t="shared" si="0"/>
        <v>19</v>
      </c>
      <c r="K16" s="35">
        <f t="shared" si="1"/>
        <v>0.73939602496256551</v>
      </c>
    </row>
    <row r="17" spans="1:11" s="10" customFormat="1" ht="15.75">
      <c r="A17" s="43">
        <v>15</v>
      </c>
      <c r="B17" s="9" t="s">
        <v>15</v>
      </c>
      <c r="C17" s="75">
        <v>5</v>
      </c>
      <c r="D17" s="25">
        <v>20</v>
      </c>
      <c r="E17" s="77">
        <v>10</v>
      </c>
      <c r="F17" s="11">
        <v>25</v>
      </c>
      <c r="G17" s="77">
        <v>467</v>
      </c>
      <c r="H17" s="28">
        <v>5659</v>
      </c>
      <c r="I17" s="76">
        <v>0</v>
      </c>
      <c r="J17" s="28">
        <f t="shared" si="0"/>
        <v>19</v>
      </c>
      <c r="K17" s="35">
        <f t="shared" si="1"/>
        <v>0.7325234140307475</v>
      </c>
    </row>
    <row r="18" spans="1:11" s="10" customFormat="1" ht="16.5" customHeight="1">
      <c r="A18" s="46">
        <v>16</v>
      </c>
      <c r="B18" s="9" t="s">
        <v>10</v>
      </c>
      <c r="C18" s="75">
        <v>4</v>
      </c>
      <c r="D18" s="25">
        <v>20</v>
      </c>
      <c r="E18" s="77">
        <v>10</v>
      </c>
      <c r="F18" s="11">
        <v>25</v>
      </c>
      <c r="G18" s="77">
        <v>579</v>
      </c>
      <c r="H18" s="28">
        <v>5659</v>
      </c>
      <c r="I18" s="76">
        <v>0</v>
      </c>
      <c r="J18" s="28">
        <f t="shared" si="0"/>
        <v>19</v>
      </c>
      <c r="K18" s="35">
        <f t="shared" si="1"/>
        <v>0.70231489662484547</v>
      </c>
    </row>
    <row r="19" spans="1:11" s="10" customFormat="1" ht="31.5">
      <c r="A19" s="43">
        <v>17</v>
      </c>
      <c r="B19" s="149" t="s">
        <v>20</v>
      </c>
      <c r="C19" s="75">
        <v>4</v>
      </c>
      <c r="D19" s="25">
        <v>20</v>
      </c>
      <c r="E19" s="77">
        <v>9</v>
      </c>
      <c r="F19" s="11">
        <v>25</v>
      </c>
      <c r="G19" s="77">
        <v>337</v>
      </c>
      <c r="H19" s="28">
        <v>5659</v>
      </c>
      <c r="I19" s="76">
        <v>1</v>
      </c>
      <c r="J19" s="28">
        <f t="shared" si="0"/>
        <v>19</v>
      </c>
      <c r="K19" s="35">
        <f t="shared" si="1"/>
        <v>0.67218273639568094</v>
      </c>
    </row>
    <row r="20" spans="1:11" s="10" customFormat="1" ht="20.25" customHeight="1">
      <c r="A20" s="46">
        <v>18</v>
      </c>
      <c r="B20" s="9" t="s">
        <v>6</v>
      </c>
      <c r="C20" s="75">
        <v>3</v>
      </c>
      <c r="D20" s="25">
        <v>20</v>
      </c>
      <c r="E20" s="84">
        <v>9</v>
      </c>
      <c r="F20" s="11">
        <v>25</v>
      </c>
      <c r="G20" s="84">
        <v>332</v>
      </c>
      <c r="H20" s="28">
        <v>5659</v>
      </c>
      <c r="I20" s="76">
        <v>1</v>
      </c>
      <c r="J20" s="28">
        <f t="shared" si="0"/>
        <v>19</v>
      </c>
      <c r="K20" s="35">
        <f t="shared" si="1"/>
        <v>0.62129918806558715</v>
      </c>
    </row>
    <row r="21" spans="1:11" s="10" customFormat="1" ht="15.75">
      <c r="A21" s="43">
        <v>19</v>
      </c>
      <c r="B21" s="9" t="s">
        <v>29</v>
      </c>
      <c r="C21" s="75">
        <v>4</v>
      </c>
      <c r="D21" s="25">
        <v>20</v>
      </c>
      <c r="E21" s="77">
        <v>6</v>
      </c>
      <c r="F21" s="11">
        <v>25</v>
      </c>
      <c r="G21" s="77">
        <v>140</v>
      </c>
      <c r="H21" s="28">
        <v>5659</v>
      </c>
      <c r="I21" s="76">
        <v>1</v>
      </c>
      <c r="J21" s="28">
        <f t="shared" si="0"/>
        <v>19</v>
      </c>
      <c r="K21" s="35">
        <f t="shared" si="1"/>
        <v>0.51737093218999086</v>
      </c>
    </row>
    <row r="22" spans="1:11" s="10" customFormat="1" ht="15.75">
      <c r="A22" s="46">
        <v>20</v>
      </c>
      <c r="B22" s="9" t="s">
        <v>27</v>
      </c>
      <c r="C22" s="75">
        <v>1</v>
      </c>
      <c r="D22" s="25">
        <v>20</v>
      </c>
      <c r="E22" s="77">
        <v>9</v>
      </c>
      <c r="F22" s="11">
        <v>25</v>
      </c>
      <c r="G22" s="77">
        <v>298</v>
      </c>
      <c r="H22" s="28">
        <v>5659</v>
      </c>
      <c r="I22" s="76">
        <v>1</v>
      </c>
      <c r="J22" s="28">
        <f t="shared" si="0"/>
        <v>19</v>
      </c>
      <c r="K22" s="35">
        <f t="shared" si="1"/>
        <v>0.51529105942095033</v>
      </c>
    </row>
    <row r="23" spans="1:11" s="10" customFormat="1" ht="15.75">
      <c r="A23" s="43">
        <v>21</v>
      </c>
      <c r="B23" s="9" t="s">
        <v>21</v>
      </c>
      <c r="C23" s="75">
        <v>2</v>
      </c>
      <c r="D23" s="25">
        <v>20</v>
      </c>
      <c r="E23" s="77">
        <v>7</v>
      </c>
      <c r="F23" s="11">
        <v>25</v>
      </c>
      <c r="G23" s="77">
        <v>323</v>
      </c>
      <c r="H23" s="28">
        <v>5659</v>
      </c>
      <c r="I23" s="76">
        <v>1</v>
      </c>
      <c r="J23" s="28">
        <f t="shared" si="0"/>
        <v>19</v>
      </c>
      <c r="K23" s="35">
        <f t="shared" si="1"/>
        <v>0.48970880107141862</v>
      </c>
    </row>
    <row r="24" spans="1:11" s="10" customFormat="1" ht="15.75">
      <c r="A24" s="46">
        <v>22</v>
      </c>
      <c r="B24" s="9" t="s">
        <v>17</v>
      </c>
      <c r="C24" s="75">
        <v>7</v>
      </c>
      <c r="D24" s="25">
        <v>20</v>
      </c>
      <c r="E24" s="77">
        <v>2</v>
      </c>
      <c r="F24" s="11">
        <v>25</v>
      </c>
      <c r="G24" s="77">
        <v>18</v>
      </c>
      <c r="H24" s="28">
        <v>5659</v>
      </c>
      <c r="I24" s="76">
        <v>0</v>
      </c>
      <c r="J24" s="28">
        <f t="shared" si="0"/>
        <v>19</v>
      </c>
      <c r="K24" s="35">
        <f t="shared" si="1"/>
        <v>0.43318077398833715</v>
      </c>
    </row>
    <row r="25" spans="1:11" s="10" customFormat="1" ht="15.75">
      <c r="A25" s="43">
        <v>23</v>
      </c>
      <c r="B25" s="9" t="s">
        <v>26</v>
      </c>
      <c r="C25" s="75">
        <v>3</v>
      </c>
      <c r="D25" s="25">
        <v>20</v>
      </c>
      <c r="E25" s="77">
        <v>4</v>
      </c>
      <c r="F25" s="11">
        <v>25</v>
      </c>
      <c r="G25" s="77">
        <v>124</v>
      </c>
      <c r="H25" s="28">
        <v>5659</v>
      </c>
      <c r="I25" s="76">
        <v>1</v>
      </c>
      <c r="J25" s="28">
        <f t="shared" si="0"/>
        <v>19</v>
      </c>
      <c r="K25" s="35">
        <f t="shared" si="1"/>
        <v>0.38454357753369112</v>
      </c>
    </row>
    <row r="26" spans="1:11" s="10" customFormat="1" ht="15.75">
      <c r="A26" s="46">
        <v>24</v>
      </c>
      <c r="B26" s="149" t="s">
        <v>30</v>
      </c>
      <c r="C26" s="75">
        <v>5</v>
      </c>
      <c r="D26" s="25">
        <v>20</v>
      </c>
      <c r="E26" s="77">
        <v>3</v>
      </c>
      <c r="F26" s="11">
        <v>25</v>
      </c>
      <c r="G26" s="77">
        <v>38</v>
      </c>
      <c r="H26" s="28">
        <v>5659</v>
      </c>
      <c r="I26" s="76">
        <v>0</v>
      </c>
      <c r="J26" s="28">
        <f t="shared" si="0"/>
        <v>19</v>
      </c>
      <c r="K26" s="35">
        <f t="shared" si="1"/>
        <v>0.37671496730871179</v>
      </c>
    </row>
    <row r="27" spans="1:11" s="10" customFormat="1" ht="15.75">
      <c r="A27" s="43">
        <v>25</v>
      </c>
      <c r="B27" s="9" t="s">
        <v>18</v>
      </c>
      <c r="C27" s="75">
        <v>5</v>
      </c>
      <c r="D27" s="25">
        <v>20</v>
      </c>
      <c r="E27" s="77">
        <v>3</v>
      </c>
      <c r="F27" s="11">
        <v>25</v>
      </c>
      <c r="G27" s="77">
        <v>35</v>
      </c>
      <c r="H27" s="28">
        <v>5659</v>
      </c>
      <c r="I27" s="76">
        <v>0</v>
      </c>
      <c r="J27" s="28">
        <f t="shared" si="0"/>
        <v>19</v>
      </c>
      <c r="K27" s="35">
        <f t="shared" si="1"/>
        <v>0.37618483831065558</v>
      </c>
    </row>
    <row r="28" spans="1:11" s="10" customFormat="1" ht="31.5">
      <c r="A28" s="46">
        <v>26</v>
      </c>
      <c r="B28" s="9" t="s">
        <v>24</v>
      </c>
      <c r="C28" s="75">
        <v>3</v>
      </c>
      <c r="D28" s="25">
        <v>20</v>
      </c>
      <c r="E28" s="77">
        <v>4</v>
      </c>
      <c r="F28" s="11">
        <v>25</v>
      </c>
      <c r="G28" s="77">
        <v>58</v>
      </c>
      <c r="H28" s="28">
        <v>5659</v>
      </c>
      <c r="I28" s="76">
        <v>1</v>
      </c>
      <c r="J28" s="28">
        <f t="shared" si="0"/>
        <v>19</v>
      </c>
      <c r="K28" s="35">
        <f t="shared" si="1"/>
        <v>0.37288073957645484</v>
      </c>
    </row>
    <row r="29" spans="1:11" s="10" customFormat="1" ht="31.5">
      <c r="A29" s="43">
        <v>27</v>
      </c>
      <c r="B29" s="9" t="s">
        <v>23</v>
      </c>
      <c r="C29" s="75">
        <v>4</v>
      </c>
      <c r="D29" s="25">
        <v>20</v>
      </c>
      <c r="E29" s="77">
        <v>3</v>
      </c>
      <c r="F29" s="11">
        <v>25</v>
      </c>
      <c r="G29" s="77">
        <v>39</v>
      </c>
      <c r="H29" s="28">
        <v>5659</v>
      </c>
      <c r="I29" s="76">
        <v>0</v>
      </c>
      <c r="J29" s="28">
        <f t="shared" si="0"/>
        <v>19</v>
      </c>
      <c r="K29" s="35">
        <f t="shared" si="1"/>
        <v>0.32689167697473054</v>
      </c>
    </row>
    <row r="30" spans="1:11" s="10" customFormat="1" ht="15.75">
      <c r="A30" s="46">
        <v>28</v>
      </c>
      <c r="B30" s="9" t="s">
        <v>31</v>
      </c>
      <c r="C30" s="75">
        <v>3</v>
      </c>
      <c r="D30" s="25">
        <v>20</v>
      </c>
      <c r="E30" s="77">
        <v>3</v>
      </c>
      <c r="F30" s="11">
        <v>25</v>
      </c>
      <c r="G30" s="77">
        <v>36</v>
      </c>
      <c r="H30" s="28">
        <v>5659</v>
      </c>
      <c r="I30" s="76">
        <v>0</v>
      </c>
      <c r="J30" s="28">
        <f t="shared" si="0"/>
        <v>19</v>
      </c>
      <c r="K30" s="35">
        <f t="shared" si="1"/>
        <v>0.27636154797667434</v>
      </c>
    </row>
    <row r="31" spans="1:11" s="10" customFormat="1" ht="15.75">
      <c r="A31" s="43">
        <v>29</v>
      </c>
      <c r="B31" s="9" t="s">
        <v>22</v>
      </c>
      <c r="C31" s="75">
        <v>2</v>
      </c>
      <c r="D31" s="25">
        <v>20</v>
      </c>
      <c r="E31" s="77">
        <v>3</v>
      </c>
      <c r="F31" s="11">
        <v>25</v>
      </c>
      <c r="G31" s="77">
        <v>35</v>
      </c>
      <c r="H31" s="28">
        <v>5659</v>
      </c>
      <c r="I31" s="76">
        <v>0</v>
      </c>
      <c r="J31" s="28">
        <f t="shared" si="0"/>
        <v>19</v>
      </c>
      <c r="K31" s="35">
        <f t="shared" si="1"/>
        <v>0.22618483831065558</v>
      </c>
    </row>
    <row r="32" spans="1:11" s="10" customFormat="1" ht="15.75">
      <c r="A32" s="46">
        <v>30</v>
      </c>
      <c r="B32" s="9" t="s">
        <v>112</v>
      </c>
      <c r="C32" s="75">
        <v>0</v>
      </c>
      <c r="D32" s="25">
        <v>20</v>
      </c>
      <c r="E32" s="77">
        <v>5</v>
      </c>
      <c r="F32" s="11">
        <v>25</v>
      </c>
      <c r="G32" s="77">
        <v>105</v>
      </c>
      <c r="H32" s="28">
        <v>5659</v>
      </c>
      <c r="I32" s="76">
        <v>0</v>
      </c>
      <c r="J32" s="28">
        <f t="shared" si="0"/>
        <v>19</v>
      </c>
      <c r="K32" s="35">
        <f t="shared" si="1"/>
        <v>0.21855451493196679</v>
      </c>
    </row>
    <row r="33" spans="1:11" s="10" customFormat="1" ht="15.75">
      <c r="A33" s="43">
        <v>31</v>
      </c>
      <c r="B33" s="9" t="s">
        <v>32</v>
      </c>
      <c r="C33" s="75">
        <v>0</v>
      </c>
      <c r="D33" s="25">
        <v>20</v>
      </c>
      <c r="E33" s="77">
        <v>3</v>
      </c>
      <c r="F33" s="11">
        <v>25</v>
      </c>
      <c r="G33" s="77">
        <v>32</v>
      </c>
      <c r="H33" s="28">
        <v>5659</v>
      </c>
      <c r="I33" s="76">
        <v>0</v>
      </c>
      <c r="J33" s="28">
        <f t="shared" si="0"/>
        <v>19</v>
      </c>
      <c r="K33" s="35">
        <f t="shared" si="1"/>
        <v>0.12565470931259939</v>
      </c>
    </row>
    <row r="34" spans="1:11" ht="15.75">
      <c r="A34" s="2"/>
      <c r="B34" s="47" t="s">
        <v>49</v>
      </c>
      <c r="C34" s="64"/>
      <c r="D34" s="64"/>
      <c r="E34" s="65"/>
      <c r="F34" s="65"/>
      <c r="G34" s="65"/>
      <c r="H34" s="28"/>
      <c r="I34" s="78">
        <f>SUM(I3:I33)</f>
        <v>19</v>
      </c>
      <c r="J34" s="66"/>
      <c r="K34" s="41"/>
    </row>
    <row r="35" spans="1:11" ht="54" customHeight="1">
      <c r="A35" s="2"/>
      <c r="B35" s="128"/>
      <c r="C35" s="129"/>
      <c r="D35" s="129"/>
      <c r="E35" s="29"/>
      <c r="F35" s="29"/>
      <c r="G35" s="29"/>
      <c r="H35" s="130"/>
      <c r="I35" s="131"/>
      <c r="J35" s="130"/>
      <c r="K35" s="132"/>
    </row>
    <row r="36" spans="1:11" ht="40.5">
      <c r="A36" s="74"/>
      <c r="B36" s="72" t="s">
        <v>117</v>
      </c>
      <c r="C36" s="38"/>
      <c r="D36" s="38"/>
      <c r="E36" s="42"/>
      <c r="F36" s="42"/>
      <c r="G36" s="42"/>
      <c r="H36" s="39"/>
      <c r="I36" s="39"/>
      <c r="J36" s="39"/>
      <c r="K36" s="39"/>
    </row>
    <row r="37" spans="1:11" ht="108" customHeight="1">
      <c r="A37" s="70"/>
      <c r="B37" s="57" t="s">
        <v>41</v>
      </c>
      <c r="C37" s="57" t="s">
        <v>101</v>
      </c>
      <c r="D37" s="57" t="s">
        <v>100</v>
      </c>
      <c r="E37" s="57" t="s">
        <v>56</v>
      </c>
      <c r="F37" s="57" t="s">
        <v>57</v>
      </c>
      <c r="G37" s="57" t="s">
        <v>58</v>
      </c>
      <c r="H37" s="57" t="s">
        <v>59</v>
      </c>
      <c r="I37" s="57" t="s">
        <v>60</v>
      </c>
      <c r="J37" s="57" t="s">
        <v>61</v>
      </c>
      <c r="K37" s="57" t="s">
        <v>62</v>
      </c>
    </row>
    <row r="38" spans="1:11" ht="31.5">
      <c r="A38" s="43">
        <v>1</v>
      </c>
      <c r="B38" s="3" t="s">
        <v>35</v>
      </c>
      <c r="C38" s="25">
        <v>18</v>
      </c>
      <c r="D38" s="25">
        <v>20</v>
      </c>
      <c r="E38" s="11">
        <v>20</v>
      </c>
      <c r="F38" s="11">
        <v>25</v>
      </c>
      <c r="G38" s="11">
        <v>1841</v>
      </c>
      <c r="H38" s="87">
        <v>5659</v>
      </c>
      <c r="I38" s="76">
        <v>4</v>
      </c>
      <c r="J38" s="28">
        <v>19</v>
      </c>
      <c r="K38" s="23">
        <f>C38/D38+E38/F38+G38/H38+I38/J38</f>
        <v>2.2358488109299577</v>
      </c>
    </row>
    <row r="39" spans="1:11" ht="35.25" customHeight="1">
      <c r="A39" s="43">
        <v>2</v>
      </c>
      <c r="B39" s="3" t="s">
        <v>36</v>
      </c>
      <c r="C39" s="25">
        <v>16</v>
      </c>
      <c r="D39" s="25">
        <v>20</v>
      </c>
      <c r="E39" s="11">
        <v>17</v>
      </c>
      <c r="F39" s="11">
        <v>25</v>
      </c>
      <c r="G39" s="11">
        <v>2089</v>
      </c>
      <c r="H39" s="87">
        <v>5659</v>
      </c>
      <c r="I39" s="76">
        <v>3</v>
      </c>
      <c r="J39" s="28">
        <v>19</v>
      </c>
      <c r="K39" s="23">
        <f>C39/D39+E39/F39+G39/H39+I39/J39</f>
        <v>2.0070412291552349</v>
      </c>
    </row>
    <row r="40" spans="1:11" ht="15.75">
      <c r="A40" s="43">
        <v>3</v>
      </c>
      <c r="B40" s="3" t="s">
        <v>34</v>
      </c>
      <c r="C40" s="25">
        <v>14</v>
      </c>
      <c r="D40" s="25">
        <v>20</v>
      </c>
      <c r="E40" s="11">
        <v>14</v>
      </c>
      <c r="F40" s="11">
        <v>25</v>
      </c>
      <c r="G40" s="11">
        <v>883</v>
      </c>
      <c r="H40" s="87">
        <v>5659</v>
      </c>
      <c r="I40" s="76">
        <v>7</v>
      </c>
      <c r="J40" s="28">
        <v>19</v>
      </c>
      <c r="K40" s="23">
        <f>C40/D40+E40/F40+G40/H40+I40/J40</f>
        <v>1.7844556877261186</v>
      </c>
    </row>
    <row r="41" spans="1:11" ht="24" customHeight="1">
      <c r="A41" s="43">
        <v>4</v>
      </c>
      <c r="B41" s="3" t="s">
        <v>33</v>
      </c>
      <c r="C41" s="25">
        <v>7</v>
      </c>
      <c r="D41" s="25">
        <v>20</v>
      </c>
      <c r="E41" s="11">
        <v>18</v>
      </c>
      <c r="F41" s="11">
        <v>25</v>
      </c>
      <c r="G41" s="11">
        <v>1610</v>
      </c>
      <c r="H41" s="87">
        <v>5659</v>
      </c>
      <c r="I41" s="76">
        <v>5</v>
      </c>
      <c r="J41" s="28">
        <v>19</v>
      </c>
      <c r="K41" s="23">
        <f>C41/D41+E41/F41+G41/H41+I41/J41</f>
        <v>1.6176604570269992</v>
      </c>
    </row>
    <row r="42" spans="1:11" ht="15.75">
      <c r="A42" s="2"/>
      <c r="B42" s="47"/>
      <c r="C42" s="64"/>
      <c r="D42" s="116"/>
      <c r="E42" s="67"/>
      <c r="F42" s="117"/>
      <c r="G42" s="68"/>
      <c r="H42" s="68"/>
      <c r="I42" s="116"/>
      <c r="J42" s="69"/>
      <c r="K42" s="69"/>
    </row>
    <row r="44" spans="1:11" ht="15.75">
      <c r="B44" s="24"/>
      <c r="C44" s="24"/>
      <c r="D44" s="24"/>
    </row>
    <row r="45" spans="1:11" ht="15.75">
      <c r="B45" s="24"/>
      <c r="C45" s="24"/>
      <c r="D45" s="24"/>
    </row>
  </sheetData>
  <sortState ref="B3:K33">
    <sortCondition descending="1" ref="K3:K33"/>
  </sortState>
  <phoneticPr fontId="5" type="noConversion"/>
  <pageMargins left="0.34" right="0.02" top="0.49" bottom="0.17" header="0.21" footer="0.24"/>
  <pageSetup paperSize="9" scale="65" orientation="landscape" verticalDpi="300" r:id="rId1"/>
  <headerFooter alignWithMargins="0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="70" zoomScaleNormal="70" workbookViewId="0">
      <selection activeCell="C10" sqref="C10"/>
    </sheetView>
  </sheetViews>
  <sheetFormatPr defaultRowHeight="12.75"/>
  <cols>
    <col min="1" max="1" width="4.85546875" customWidth="1"/>
    <col min="2" max="2" width="65.5703125" customWidth="1"/>
    <col min="3" max="3" width="19.28515625" customWidth="1"/>
    <col min="4" max="4" width="17.140625" customWidth="1"/>
    <col min="5" max="5" width="14.5703125" customWidth="1"/>
  </cols>
  <sheetData>
    <row r="1" spans="1:5" ht="45" customHeight="1">
      <c r="A1" s="20"/>
      <c r="B1" s="71" t="s">
        <v>118</v>
      </c>
      <c r="C1" s="32"/>
      <c r="D1" s="32"/>
      <c r="E1" s="32"/>
    </row>
    <row r="2" spans="1:5" ht="89.25">
      <c r="A2" s="111" t="s">
        <v>172</v>
      </c>
      <c r="B2" s="57" t="s">
        <v>0</v>
      </c>
      <c r="C2" s="57" t="s">
        <v>134</v>
      </c>
      <c r="D2" s="57" t="s">
        <v>47</v>
      </c>
      <c r="E2" s="57" t="s">
        <v>145</v>
      </c>
    </row>
    <row r="3" spans="1:5" ht="15.75">
      <c r="A3" s="43">
        <v>1</v>
      </c>
      <c r="B3" s="3" t="s">
        <v>9</v>
      </c>
      <c r="C3" s="11">
        <v>10</v>
      </c>
      <c r="D3" s="25">
        <v>68</v>
      </c>
      <c r="E3" s="13">
        <f t="shared" ref="E3:E33" si="0">C3/D3</f>
        <v>0.14705882352941177</v>
      </c>
    </row>
    <row r="4" spans="1:5" ht="15.75">
      <c r="A4" s="43">
        <v>2</v>
      </c>
      <c r="B4" s="3" t="s">
        <v>21</v>
      </c>
      <c r="C4" s="11">
        <v>9</v>
      </c>
      <c r="D4" s="25">
        <v>68</v>
      </c>
      <c r="E4" s="13">
        <f t="shared" si="0"/>
        <v>0.13235294117647059</v>
      </c>
    </row>
    <row r="5" spans="1:5" ht="15.75">
      <c r="A5" s="43">
        <v>3</v>
      </c>
      <c r="B5" s="3" t="s">
        <v>10</v>
      </c>
      <c r="C5" s="11">
        <v>7</v>
      </c>
      <c r="D5" s="25">
        <v>68</v>
      </c>
      <c r="E5" s="13">
        <f t="shared" si="0"/>
        <v>0.10294117647058823</v>
      </c>
    </row>
    <row r="6" spans="1:5" ht="15.75">
      <c r="A6" s="43">
        <v>4</v>
      </c>
      <c r="B6" s="3" t="s">
        <v>19</v>
      </c>
      <c r="C6" s="11">
        <v>6</v>
      </c>
      <c r="D6" s="25">
        <v>68</v>
      </c>
      <c r="E6" s="13">
        <f t="shared" si="0"/>
        <v>8.8235294117647065E-2</v>
      </c>
    </row>
    <row r="7" spans="1:5" ht="15.75">
      <c r="A7" s="43">
        <v>5</v>
      </c>
      <c r="B7" s="3" t="s">
        <v>12</v>
      </c>
      <c r="C7" s="11">
        <v>6</v>
      </c>
      <c r="D7" s="25">
        <v>68</v>
      </c>
      <c r="E7" s="13">
        <f t="shared" si="0"/>
        <v>8.8235294117647065E-2</v>
      </c>
    </row>
    <row r="8" spans="1:5" ht="15.75">
      <c r="A8" s="43">
        <v>6</v>
      </c>
      <c r="B8" s="3" t="s">
        <v>26</v>
      </c>
      <c r="C8" s="11">
        <v>4</v>
      </c>
      <c r="D8" s="25">
        <v>68</v>
      </c>
      <c r="E8" s="13">
        <f t="shared" si="0"/>
        <v>5.8823529411764705E-2</v>
      </c>
    </row>
    <row r="9" spans="1:5" ht="15.75">
      <c r="A9" s="43">
        <v>7</v>
      </c>
      <c r="B9" s="3" t="s">
        <v>20</v>
      </c>
      <c r="C9" s="11">
        <v>4</v>
      </c>
      <c r="D9" s="25">
        <v>68</v>
      </c>
      <c r="E9" s="13">
        <f t="shared" si="0"/>
        <v>5.8823529411764705E-2</v>
      </c>
    </row>
    <row r="10" spans="1:5" ht="15.75">
      <c r="A10" s="43">
        <v>8</v>
      </c>
      <c r="B10" s="3" t="s">
        <v>29</v>
      </c>
      <c r="C10" s="11">
        <v>3</v>
      </c>
      <c r="D10" s="25">
        <v>68</v>
      </c>
      <c r="E10" s="13">
        <f t="shared" si="0"/>
        <v>4.4117647058823532E-2</v>
      </c>
    </row>
    <row r="11" spans="1:5" ht="15.75">
      <c r="A11" s="43">
        <v>9</v>
      </c>
      <c r="B11" s="9" t="s">
        <v>14</v>
      </c>
      <c r="C11" s="11">
        <v>2</v>
      </c>
      <c r="D11" s="25">
        <v>68</v>
      </c>
      <c r="E11" s="13">
        <f t="shared" si="0"/>
        <v>2.9411764705882353E-2</v>
      </c>
    </row>
    <row r="12" spans="1:5" ht="15.75">
      <c r="A12" s="43">
        <v>10</v>
      </c>
      <c r="B12" s="3" t="s">
        <v>27</v>
      </c>
      <c r="C12" s="11">
        <v>2</v>
      </c>
      <c r="D12" s="25">
        <v>68</v>
      </c>
      <c r="E12" s="13">
        <f t="shared" si="0"/>
        <v>2.9411764705882353E-2</v>
      </c>
    </row>
    <row r="13" spans="1:5" ht="17.25" customHeight="1">
      <c r="A13" s="43">
        <v>11</v>
      </c>
      <c r="B13" s="3" t="s">
        <v>25</v>
      </c>
      <c r="C13" s="11">
        <v>2</v>
      </c>
      <c r="D13" s="25">
        <v>68</v>
      </c>
      <c r="E13" s="13">
        <f t="shared" si="0"/>
        <v>2.9411764705882353E-2</v>
      </c>
    </row>
    <row r="14" spans="1:5" ht="18" customHeight="1">
      <c r="A14" s="43">
        <v>12</v>
      </c>
      <c r="B14" s="3" t="s">
        <v>8</v>
      </c>
      <c r="C14" s="11">
        <v>2</v>
      </c>
      <c r="D14" s="25">
        <v>68</v>
      </c>
      <c r="E14" s="13">
        <f t="shared" si="0"/>
        <v>2.9411764705882353E-2</v>
      </c>
    </row>
    <row r="15" spans="1:5" ht="15.75">
      <c r="A15" s="43">
        <v>13</v>
      </c>
      <c r="B15" s="3" t="s">
        <v>6</v>
      </c>
      <c r="C15" s="11">
        <v>2</v>
      </c>
      <c r="D15" s="25">
        <v>68</v>
      </c>
      <c r="E15" s="13">
        <f t="shared" si="0"/>
        <v>2.9411764705882353E-2</v>
      </c>
    </row>
    <row r="16" spans="1:5" ht="15.75">
      <c r="A16" s="43">
        <v>14</v>
      </c>
      <c r="B16" s="3" t="s">
        <v>112</v>
      </c>
      <c r="C16" s="11">
        <v>2</v>
      </c>
      <c r="D16" s="25">
        <v>68</v>
      </c>
      <c r="E16" s="13">
        <f t="shared" si="0"/>
        <v>2.9411764705882353E-2</v>
      </c>
    </row>
    <row r="17" spans="1:5" ht="16.5" customHeight="1">
      <c r="A17" s="43">
        <v>15</v>
      </c>
      <c r="B17" s="3" t="s">
        <v>5</v>
      </c>
      <c r="C17" s="25">
        <v>1</v>
      </c>
      <c r="D17" s="25">
        <v>68</v>
      </c>
      <c r="E17" s="13">
        <f t="shared" si="0"/>
        <v>1.4705882352941176E-2</v>
      </c>
    </row>
    <row r="18" spans="1:5" ht="14.25" customHeight="1">
      <c r="A18" s="43">
        <v>16</v>
      </c>
      <c r="B18" s="3" t="s">
        <v>13</v>
      </c>
      <c r="C18" s="11">
        <v>1</v>
      </c>
      <c r="D18" s="25">
        <v>68</v>
      </c>
      <c r="E18" s="13">
        <f t="shared" si="0"/>
        <v>1.4705882352941176E-2</v>
      </c>
    </row>
    <row r="19" spans="1:5" ht="15.75">
      <c r="A19" s="43">
        <v>17</v>
      </c>
      <c r="B19" s="3" t="s">
        <v>133</v>
      </c>
      <c r="C19" s="11">
        <v>1</v>
      </c>
      <c r="D19" s="25">
        <v>68</v>
      </c>
      <c r="E19" s="13">
        <f t="shared" si="0"/>
        <v>1.4705882352941176E-2</v>
      </c>
    </row>
    <row r="20" spans="1:5" ht="15.75">
      <c r="A20" s="43">
        <v>18</v>
      </c>
      <c r="B20" s="3" t="s">
        <v>24</v>
      </c>
      <c r="C20" s="11">
        <v>1</v>
      </c>
      <c r="D20" s="25">
        <v>68</v>
      </c>
      <c r="E20" s="13">
        <f t="shared" si="0"/>
        <v>1.4705882352941176E-2</v>
      </c>
    </row>
    <row r="21" spans="1:5" ht="15.75">
      <c r="A21" s="43">
        <v>19</v>
      </c>
      <c r="B21" s="3" t="s">
        <v>31</v>
      </c>
      <c r="C21" s="11">
        <v>1</v>
      </c>
      <c r="D21" s="25">
        <v>68</v>
      </c>
      <c r="E21" s="13">
        <f t="shared" si="0"/>
        <v>1.4705882352941176E-2</v>
      </c>
    </row>
    <row r="22" spans="1:5" ht="15.75">
      <c r="A22" s="43">
        <v>20</v>
      </c>
      <c r="B22" s="3" t="s">
        <v>18</v>
      </c>
      <c r="C22" s="11">
        <v>1</v>
      </c>
      <c r="D22" s="25">
        <v>68</v>
      </c>
      <c r="E22" s="13">
        <f t="shared" si="0"/>
        <v>1.4705882352941176E-2</v>
      </c>
    </row>
    <row r="23" spans="1:5" ht="15.75">
      <c r="A23" s="43">
        <v>21</v>
      </c>
      <c r="B23" s="3" t="s">
        <v>4</v>
      </c>
      <c r="C23" s="11">
        <v>1</v>
      </c>
      <c r="D23" s="25">
        <v>68</v>
      </c>
      <c r="E23" s="13">
        <f t="shared" si="0"/>
        <v>1.4705882352941176E-2</v>
      </c>
    </row>
    <row r="24" spans="1:5" ht="14.25" customHeight="1">
      <c r="A24" s="43">
        <v>22</v>
      </c>
      <c r="B24" s="3" t="s">
        <v>30</v>
      </c>
      <c r="C24" s="11">
        <v>0</v>
      </c>
      <c r="D24" s="25">
        <v>68</v>
      </c>
      <c r="E24" s="13">
        <f t="shared" si="0"/>
        <v>0</v>
      </c>
    </row>
    <row r="25" spans="1:5" ht="15.75">
      <c r="A25" s="43">
        <v>23</v>
      </c>
      <c r="B25" s="3" t="s">
        <v>23</v>
      </c>
      <c r="C25" s="11">
        <v>0</v>
      </c>
      <c r="D25" s="25">
        <v>68</v>
      </c>
      <c r="E25" s="13">
        <f t="shared" si="0"/>
        <v>0</v>
      </c>
    </row>
    <row r="26" spans="1:5" ht="15.75">
      <c r="A26" s="43">
        <v>24</v>
      </c>
      <c r="B26" s="3" t="s">
        <v>28</v>
      </c>
      <c r="C26" s="11">
        <v>0</v>
      </c>
      <c r="D26" s="25">
        <v>68</v>
      </c>
      <c r="E26" s="13">
        <f t="shared" si="0"/>
        <v>0</v>
      </c>
    </row>
    <row r="27" spans="1:5" ht="15.75">
      <c r="A27" s="43">
        <v>25</v>
      </c>
      <c r="B27" s="3" t="s">
        <v>15</v>
      </c>
      <c r="C27" s="11">
        <v>0</v>
      </c>
      <c r="D27" s="25">
        <v>68</v>
      </c>
      <c r="E27" s="13">
        <f t="shared" si="0"/>
        <v>0</v>
      </c>
    </row>
    <row r="28" spans="1:5" ht="15.75">
      <c r="A28" s="43">
        <v>26</v>
      </c>
      <c r="B28" s="3" t="s">
        <v>17</v>
      </c>
      <c r="C28" s="11">
        <v>0</v>
      </c>
      <c r="D28" s="25">
        <v>68</v>
      </c>
      <c r="E28" s="13">
        <f t="shared" si="0"/>
        <v>0</v>
      </c>
    </row>
    <row r="29" spans="1:5" ht="15.75">
      <c r="A29" s="43">
        <v>27</v>
      </c>
      <c r="B29" s="3" t="s">
        <v>11</v>
      </c>
      <c r="C29" s="11">
        <v>0</v>
      </c>
      <c r="D29" s="25">
        <v>68</v>
      </c>
      <c r="E29" s="13">
        <f t="shared" si="0"/>
        <v>0</v>
      </c>
    </row>
    <row r="30" spans="1:5" ht="16.5" customHeight="1">
      <c r="A30" s="43">
        <v>28</v>
      </c>
      <c r="B30" s="3" t="s">
        <v>7</v>
      </c>
      <c r="C30" s="11">
        <v>0</v>
      </c>
      <c r="D30" s="25">
        <v>68</v>
      </c>
      <c r="E30" s="13">
        <f t="shared" si="0"/>
        <v>0</v>
      </c>
    </row>
    <row r="31" spans="1:5" ht="15.75">
      <c r="A31" s="43">
        <v>29</v>
      </c>
      <c r="B31" s="3" t="s">
        <v>22</v>
      </c>
      <c r="C31" s="11">
        <v>0</v>
      </c>
      <c r="D31" s="25">
        <v>68</v>
      </c>
      <c r="E31" s="13">
        <f t="shared" si="0"/>
        <v>0</v>
      </c>
    </row>
    <row r="32" spans="1:5" ht="15.75">
      <c r="A32" s="43">
        <v>30</v>
      </c>
      <c r="B32" s="3" t="s">
        <v>16</v>
      </c>
      <c r="C32" s="11">
        <v>0</v>
      </c>
      <c r="D32" s="25">
        <v>68</v>
      </c>
      <c r="E32" s="13">
        <f t="shared" si="0"/>
        <v>0</v>
      </c>
    </row>
    <row r="33" spans="1:5" ht="15.75">
      <c r="A33" s="43">
        <v>31</v>
      </c>
      <c r="B33" s="3" t="s">
        <v>32</v>
      </c>
      <c r="C33" s="11">
        <v>0</v>
      </c>
      <c r="D33" s="25">
        <v>68</v>
      </c>
      <c r="E33" s="13">
        <f t="shared" si="0"/>
        <v>0</v>
      </c>
    </row>
    <row r="34" spans="1:5" ht="15.75">
      <c r="A34" s="43"/>
      <c r="B34" s="17" t="s">
        <v>49</v>
      </c>
      <c r="C34" s="99">
        <f>SUM(C3:C33)</f>
        <v>68</v>
      </c>
      <c r="D34" s="25"/>
      <c r="E34" s="13"/>
    </row>
    <row r="35" spans="1:5" ht="15.75">
      <c r="A35" s="122"/>
      <c r="B35" s="123"/>
      <c r="C35" s="124"/>
      <c r="D35" s="125"/>
      <c r="E35" s="126"/>
    </row>
    <row r="36" spans="1:5" ht="15.75">
      <c r="A36" s="122"/>
      <c r="B36" s="123"/>
      <c r="C36" s="124"/>
      <c r="D36" s="125"/>
      <c r="E36" s="126"/>
    </row>
    <row r="37" spans="1:5" ht="36.75" customHeight="1">
      <c r="A37" s="37"/>
      <c r="B37" s="72" t="s">
        <v>119</v>
      </c>
      <c r="C37" s="42"/>
      <c r="D37" s="42"/>
      <c r="E37" s="42"/>
    </row>
    <row r="38" spans="1:5" ht="98.25" customHeight="1">
      <c r="A38" s="8" t="s">
        <v>99</v>
      </c>
      <c r="B38" s="57" t="s">
        <v>41</v>
      </c>
      <c r="C38" s="57" t="s">
        <v>135</v>
      </c>
      <c r="D38" s="57" t="s">
        <v>47</v>
      </c>
      <c r="E38" s="57" t="s">
        <v>48</v>
      </c>
    </row>
    <row r="39" spans="1:5" ht="15.75">
      <c r="A39" s="43">
        <v>1</v>
      </c>
      <c r="B39" s="3" t="s">
        <v>33</v>
      </c>
      <c r="C39" s="11">
        <v>26</v>
      </c>
      <c r="D39" s="25">
        <v>68</v>
      </c>
      <c r="E39" s="13">
        <f>C39/D39</f>
        <v>0.38235294117647056</v>
      </c>
    </row>
    <row r="40" spans="1:5" ht="31.5">
      <c r="A40" s="43">
        <v>2</v>
      </c>
      <c r="B40" s="3" t="s">
        <v>35</v>
      </c>
      <c r="C40" s="11">
        <v>17</v>
      </c>
      <c r="D40" s="25">
        <v>68</v>
      </c>
      <c r="E40" s="13">
        <f>C40/D40</f>
        <v>0.25</v>
      </c>
    </row>
    <row r="41" spans="1:5" ht="15.75">
      <c r="A41" s="43">
        <v>3</v>
      </c>
      <c r="B41" s="3" t="s">
        <v>34</v>
      </c>
      <c r="C41" s="11">
        <v>16</v>
      </c>
      <c r="D41" s="25">
        <v>68</v>
      </c>
      <c r="E41" s="13">
        <f>C41/D41</f>
        <v>0.23529411764705882</v>
      </c>
    </row>
    <row r="42" spans="1:5" ht="31.5">
      <c r="A42" s="43">
        <v>4</v>
      </c>
      <c r="B42" s="3" t="s">
        <v>36</v>
      </c>
      <c r="C42" s="11">
        <v>9</v>
      </c>
      <c r="D42" s="25">
        <v>68</v>
      </c>
      <c r="E42" s="13">
        <f>C42/D42</f>
        <v>0.13235294117647059</v>
      </c>
    </row>
    <row r="43" spans="1:5" ht="15.75">
      <c r="A43" s="20"/>
      <c r="B43" s="40" t="s">
        <v>49</v>
      </c>
      <c r="C43" s="116">
        <f>SUM(C39:C42)</f>
        <v>68</v>
      </c>
      <c r="D43" s="41"/>
      <c r="E43" s="41"/>
    </row>
    <row r="45" spans="1:5" ht="15.75">
      <c r="B45" s="5"/>
    </row>
  </sheetData>
  <sortState ref="B3:E33">
    <sortCondition descending="1" ref="E3:E33"/>
  </sortState>
  <phoneticPr fontId="5" type="noConversion"/>
  <pageMargins left="0.39370078740157483" right="0.23622047244094491" top="0.47" bottom="0.31496062992125984" header="0.27559055118110237" footer="0.23622047244094491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workbookViewId="0">
      <selection activeCell="C37" sqref="C37"/>
    </sheetView>
  </sheetViews>
  <sheetFormatPr defaultRowHeight="12.75"/>
  <cols>
    <col min="1" max="1" width="7.140625" customWidth="1"/>
    <col min="2" max="2" width="68.7109375" customWidth="1"/>
    <col min="3" max="3" width="23.28515625" customWidth="1"/>
    <col min="4" max="4" width="21.85546875" customWidth="1"/>
    <col min="5" max="5" width="18.85546875" customWidth="1"/>
    <col min="8" max="8" width="10.5703125" bestFit="1" customWidth="1"/>
  </cols>
  <sheetData>
    <row r="1" spans="1:12" ht="40.5" customHeight="1">
      <c r="B1" s="60" t="s">
        <v>67</v>
      </c>
      <c r="C1" s="7"/>
      <c r="D1" s="7"/>
      <c r="E1" s="7"/>
    </row>
    <row r="2" spans="1:12" ht="80.25" customHeight="1">
      <c r="A2" s="43" t="s">
        <v>137</v>
      </c>
      <c r="B2" s="57" t="s">
        <v>0</v>
      </c>
      <c r="C2" s="57" t="s">
        <v>68</v>
      </c>
      <c r="D2" s="57" t="s">
        <v>126</v>
      </c>
      <c r="E2" s="57" t="s">
        <v>69</v>
      </c>
      <c r="H2" s="135"/>
      <c r="I2" s="135"/>
      <c r="J2" s="135"/>
      <c r="K2" s="135"/>
      <c r="L2" s="135"/>
    </row>
    <row r="3" spans="1:12" ht="15.75">
      <c r="A3" s="43">
        <v>1</v>
      </c>
      <c r="B3" s="3" t="s">
        <v>5</v>
      </c>
      <c r="C3" s="159">
        <v>2.73753</v>
      </c>
      <c r="D3" s="143">
        <v>1251.27</v>
      </c>
      <c r="E3" s="100">
        <f t="shared" ref="E3:E30" si="0">C3/D3</f>
        <v>2.1878011939869095E-3</v>
      </c>
      <c r="H3" s="164"/>
      <c r="I3" s="132"/>
      <c r="J3" s="135"/>
      <c r="K3" s="135"/>
      <c r="L3" s="135"/>
    </row>
    <row r="4" spans="1:12" ht="18.75" customHeight="1">
      <c r="A4" s="43">
        <v>2</v>
      </c>
      <c r="B4" s="3" t="s">
        <v>14</v>
      </c>
      <c r="C4" s="161">
        <v>62.972879999999996</v>
      </c>
      <c r="D4" s="143">
        <v>1251.27</v>
      </c>
      <c r="E4" s="100">
        <f t="shared" si="0"/>
        <v>5.032717159366084E-2</v>
      </c>
      <c r="H4" s="165"/>
      <c r="I4" s="132"/>
      <c r="J4" s="135"/>
      <c r="K4" s="135"/>
      <c r="L4" s="135"/>
    </row>
    <row r="5" spans="1:12" ht="18" customHeight="1">
      <c r="A5" s="43">
        <v>3</v>
      </c>
      <c r="B5" s="3" t="s">
        <v>21</v>
      </c>
      <c r="C5" s="161">
        <v>16.389400000000002</v>
      </c>
      <c r="D5" s="143">
        <v>1251.27</v>
      </c>
      <c r="E5" s="100">
        <f t="shared" si="0"/>
        <v>1.3098212216388152E-2</v>
      </c>
      <c r="H5" s="165"/>
      <c r="I5" s="132"/>
      <c r="J5" s="135"/>
      <c r="K5" s="135"/>
      <c r="L5" s="135"/>
    </row>
    <row r="6" spans="1:12" ht="15.75">
      <c r="A6" s="43">
        <v>4</v>
      </c>
      <c r="B6" s="3" t="s">
        <v>13</v>
      </c>
      <c r="C6" s="161">
        <v>115.38901</v>
      </c>
      <c r="D6" s="143">
        <v>1251.27</v>
      </c>
      <c r="E6" s="100">
        <f t="shared" si="0"/>
        <v>9.2217515004755168E-2</v>
      </c>
      <c r="H6" s="165"/>
      <c r="I6" s="132"/>
      <c r="J6" s="135"/>
      <c r="K6" s="135"/>
      <c r="L6" s="135"/>
    </row>
    <row r="7" spans="1:12" ht="15.75">
      <c r="A7" s="43">
        <v>5</v>
      </c>
      <c r="B7" s="3" t="s">
        <v>9</v>
      </c>
      <c r="C7" s="161">
        <v>27.523529999999997</v>
      </c>
      <c r="D7" s="143">
        <v>1251.27</v>
      </c>
      <c r="E7" s="100">
        <f t="shared" si="0"/>
        <v>2.1996475580809895E-2</v>
      </c>
      <c r="H7" s="165"/>
      <c r="I7" s="132"/>
      <c r="J7" s="135"/>
      <c r="K7" s="135"/>
      <c r="L7" s="135"/>
    </row>
    <row r="8" spans="1:12" ht="15" customHeight="1">
      <c r="A8" s="43">
        <v>6</v>
      </c>
      <c r="B8" s="3" t="s">
        <v>30</v>
      </c>
      <c r="C8" s="161">
        <v>7.61876</v>
      </c>
      <c r="D8" s="143">
        <v>1251.27</v>
      </c>
      <c r="E8" s="100">
        <f t="shared" si="0"/>
        <v>6.0888217570947917E-3</v>
      </c>
      <c r="H8" s="165"/>
      <c r="I8" s="132"/>
      <c r="J8" s="135"/>
      <c r="K8" s="135"/>
      <c r="L8" s="135"/>
    </row>
    <row r="9" spans="1:12" ht="15" customHeight="1">
      <c r="A9" s="43">
        <v>7</v>
      </c>
      <c r="B9" s="3" t="s">
        <v>10</v>
      </c>
      <c r="C9" s="161">
        <v>32.171169999999996</v>
      </c>
      <c r="D9" s="143">
        <v>1251.27</v>
      </c>
      <c r="E9" s="100">
        <f t="shared" si="0"/>
        <v>2.5710813813165822E-2</v>
      </c>
      <c r="H9" s="165"/>
      <c r="I9" s="132"/>
      <c r="J9" s="135"/>
      <c r="K9" s="135"/>
      <c r="L9" s="135"/>
    </row>
    <row r="10" spans="1:12" ht="15.75">
      <c r="A10" s="43">
        <v>8</v>
      </c>
      <c r="B10" s="3" t="s">
        <v>27</v>
      </c>
      <c r="C10" s="161">
        <v>16.238479999999999</v>
      </c>
      <c r="D10" s="143">
        <v>1251.27</v>
      </c>
      <c r="E10" s="100">
        <f t="shared" si="0"/>
        <v>1.2977598759660185E-2</v>
      </c>
      <c r="H10" s="165"/>
      <c r="I10" s="132"/>
      <c r="J10" s="135"/>
      <c r="K10" s="135"/>
      <c r="L10" s="135"/>
    </row>
    <row r="11" spans="1:12" ht="15.75">
      <c r="A11" s="43">
        <v>9</v>
      </c>
      <c r="B11" s="3" t="s">
        <v>26</v>
      </c>
      <c r="C11" s="161">
        <v>73.464690000000004</v>
      </c>
      <c r="D11" s="143">
        <v>1251.27</v>
      </c>
      <c r="E11" s="100">
        <f t="shared" si="0"/>
        <v>5.8712100505886024E-2</v>
      </c>
      <c r="H11" s="165"/>
      <c r="I11" s="132"/>
      <c r="J11" s="135"/>
      <c r="K11" s="135"/>
      <c r="L11" s="135"/>
    </row>
    <row r="12" spans="1:12" ht="17.25" customHeight="1">
      <c r="A12" s="43">
        <v>10</v>
      </c>
      <c r="B12" s="3" t="s">
        <v>133</v>
      </c>
      <c r="C12" s="161">
        <v>28.787500000000001</v>
      </c>
      <c r="D12" s="143">
        <v>1251.27</v>
      </c>
      <c r="E12" s="100">
        <f t="shared" si="0"/>
        <v>2.3006625268726974E-2</v>
      </c>
      <c r="H12" s="165"/>
      <c r="I12" s="132"/>
      <c r="J12" s="135"/>
      <c r="K12" s="135"/>
      <c r="L12" s="135"/>
    </row>
    <row r="13" spans="1:12" ht="15.75">
      <c r="A13" s="43">
        <v>11</v>
      </c>
      <c r="B13" s="3" t="s">
        <v>23</v>
      </c>
      <c r="C13" s="161">
        <v>18.141580000000001</v>
      </c>
      <c r="D13" s="143">
        <v>1251.27</v>
      </c>
      <c r="E13" s="100">
        <f t="shared" si="0"/>
        <v>1.4498533489974187E-2</v>
      </c>
      <c r="H13" s="165"/>
      <c r="I13" s="132"/>
      <c r="J13" s="135"/>
      <c r="K13" s="135"/>
      <c r="L13" s="135"/>
    </row>
    <row r="14" spans="1:12" ht="15.75">
      <c r="A14" s="43">
        <v>12</v>
      </c>
      <c r="B14" s="3" t="s">
        <v>28</v>
      </c>
      <c r="C14" s="161">
        <v>20.365269999999999</v>
      </c>
      <c r="D14" s="143">
        <v>1251.27</v>
      </c>
      <c r="E14" s="100">
        <f t="shared" si="0"/>
        <v>1.6275679909212238E-2</v>
      </c>
      <c r="H14" s="165"/>
      <c r="I14" s="132"/>
      <c r="J14" s="135"/>
      <c r="K14" s="135"/>
      <c r="L14" s="135"/>
    </row>
    <row r="15" spans="1:12" ht="15" customHeight="1">
      <c r="A15" s="43">
        <v>13</v>
      </c>
      <c r="B15" s="3" t="s">
        <v>19</v>
      </c>
      <c r="C15" s="161">
        <v>142.69679000000002</v>
      </c>
      <c r="D15" s="143">
        <v>1251.27</v>
      </c>
      <c r="E15" s="100">
        <f t="shared" si="0"/>
        <v>0.11404156576917854</v>
      </c>
      <c r="H15" s="165"/>
      <c r="I15" s="132"/>
      <c r="J15" s="135"/>
      <c r="K15" s="135"/>
      <c r="L15" s="135"/>
    </row>
    <row r="16" spans="1:12" ht="14.25" customHeight="1">
      <c r="A16" s="43">
        <v>14</v>
      </c>
      <c r="B16" s="3" t="s">
        <v>25</v>
      </c>
      <c r="C16" s="161">
        <v>87.005309999999994</v>
      </c>
      <c r="D16" s="143">
        <v>1251.27</v>
      </c>
      <c r="E16" s="100">
        <f t="shared" si="0"/>
        <v>6.9533601860509719E-2</v>
      </c>
      <c r="H16" s="165"/>
      <c r="I16" s="132"/>
      <c r="J16" s="135"/>
      <c r="K16" s="135"/>
      <c r="L16" s="135"/>
    </row>
    <row r="17" spans="1:12" ht="13.5" customHeight="1">
      <c r="A17" s="43">
        <v>15</v>
      </c>
      <c r="B17" s="3" t="s">
        <v>15</v>
      </c>
      <c r="C17" s="161">
        <v>1.34598</v>
      </c>
      <c r="D17" s="143">
        <v>1251.27</v>
      </c>
      <c r="E17" s="100">
        <f t="shared" si="0"/>
        <v>1.0756910978445898E-3</v>
      </c>
      <c r="H17" s="165"/>
      <c r="I17" s="132"/>
      <c r="J17" s="135"/>
      <c r="K17" s="135"/>
      <c r="L17" s="135"/>
    </row>
    <row r="18" spans="1:12" ht="15.75">
      <c r="A18" s="43">
        <v>16</v>
      </c>
      <c r="B18" s="3" t="s">
        <v>20</v>
      </c>
      <c r="C18" s="161">
        <v>15.569229999999999</v>
      </c>
      <c r="D18" s="143">
        <v>1251.27</v>
      </c>
      <c r="E18" s="100">
        <f t="shared" si="0"/>
        <v>1.2442742173951265E-2</v>
      </c>
      <c r="H18" s="165"/>
      <c r="I18" s="132"/>
      <c r="J18" s="135"/>
      <c r="K18" s="135"/>
      <c r="L18" s="135"/>
    </row>
    <row r="19" spans="1:12" ht="15.75">
      <c r="A19" s="43">
        <v>17</v>
      </c>
      <c r="B19" s="3" t="s">
        <v>17</v>
      </c>
      <c r="C19" s="161">
        <v>37.799819999999997</v>
      </c>
      <c r="D19" s="143">
        <v>1251.27</v>
      </c>
      <c r="E19" s="100">
        <f t="shared" si="0"/>
        <v>3.0209163489894265E-2</v>
      </c>
      <c r="H19" s="165"/>
      <c r="I19" s="132"/>
      <c r="J19" s="135"/>
      <c r="K19" s="135"/>
      <c r="L19" s="135"/>
    </row>
    <row r="20" spans="1:12" ht="15.75">
      <c r="A20" s="43">
        <v>18</v>
      </c>
      <c r="B20" s="3" t="s">
        <v>8</v>
      </c>
      <c r="C20" s="161">
        <v>112.16858999999999</v>
      </c>
      <c r="D20" s="143">
        <v>1251.27</v>
      </c>
      <c r="E20" s="100">
        <f t="shared" si="0"/>
        <v>8.9643793905392122E-2</v>
      </c>
      <c r="H20" s="165"/>
      <c r="I20" s="132"/>
      <c r="J20" s="135"/>
      <c r="K20" s="135"/>
      <c r="L20" s="135"/>
    </row>
    <row r="21" spans="1:12" ht="16.5" customHeight="1">
      <c r="A21" s="43">
        <v>19</v>
      </c>
      <c r="B21" s="3" t="s">
        <v>29</v>
      </c>
      <c r="C21" s="161">
        <v>27.29663</v>
      </c>
      <c r="D21" s="143">
        <v>1251.27</v>
      </c>
      <c r="E21" s="100">
        <f t="shared" si="0"/>
        <v>2.1815139817944969E-2</v>
      </c>
      <c r="H21" s="165"/>
      <c r="I21" s="132"/>
      <c r="J21" s="135"/>
      <c r="K21" s="135"/>
      <c r="L21" s="135"/>
    </row>
    <row r="22" spans="1:12" ht="15.75" customHeight="1">
      <c r="A22" s="43">
        <v>20</v>
      </c>
      <c r="B22" s="3" t="s">
        <v>24</v>
      </c>
      <c r="C22" s="161">
        <v>0.7368300000000001</v>
      </c>
      <c r="D22" s="143">
        <v>1251.27</v>
      </c>
      <c r="E22" s="100">
        <f t="shared" si="0"/>
        <v>5.8886571243616491E-4</v>
      </c>
      <c r="H22" s="165"/>
      <c r="I22" s="132"/>
      <c r="J22" s="135"/>
      <c r="K22" s="135"/>
      <c r="L22" s="135"/>
    </row>
    <row r="23" spans="1:12" ht="18" customHeight="1">
      <c r="A23" s="43">
        <v>21</v>
      </c>
      <c r="B23" s="3" t="s">
        <v>11</v>
      </c>
      <c r="C23" s="161">
        <v>92.557539999999989</v>
      </c>
      <c r="D23" s="143">
        <v>1251.27</v>
      </c>
      <c r="E23" s="100">
        <f t="shared" si="0"/>
        <v>7.3970877588370204E-2</v>
      </c>
      <c r="H23" s="165"/>
      <c r="I23" s="132"/>
      <c r="J23" s="135"/>
      <c r="K23" s="135"/>
      <c r="L23" s="135"/>
    </row>
    <row r="24" spans="1:12" ht="15.75">
      <c r="A24" s="43">
        <v>22</v>
      </c>
      <c r="B24" s="3" t="s">
        <v>6</v>
      </c>
      <c r="C24" s="161">
        <v>36.568889999999996</v>
      </c>
      <c r="D24" s="143">
        <v>1251.27</v>
      </c>
      <c r="E24" s="100">
        <f t="shared" si="0"/>
        <v>2.9225418974322084E-2</v>
      </c>
      <c r="H24" s="165"/>
      <c r="I24" s="132"/>
      <c r="J24" s="135"/>
      <c r="K24" s="135"/>
      <c r="L24" s="135"/>
    </row>
    <row r="25" spans="1:12" ht="15.75">
      <c r="A25" s="43">
        <v>23</v>
      </c>
      <c r="B25" s="3" t="s">
        <v>113</v>
      </c>
      <c r="C25" s="161">
        <v>44.601120000000002</v>
      </c>
      <c r="D25" s="143">
        <v>1251.27</v>
      </c>
      <c r="E25" s="100">
        <f t="shared" si="0"/>
        <v>3.5644681004099836E-2</v>
      </c>
      <c r="H25" s="165"/>
      <c r="I25" s="132"/>
      <c r="J25" s="135"/>
      <c r="K25" s="135"/>
      <c r="L25" s="135"/>
    </row>
    <row r="26" spans="1:12" ht="17.25" customHeight="1">
      <c r="A26" s="43">
        <v>24</v>
      </c>
      <c r="B26" s="3" t="s">
        <v>31</v>
      </c>
      <c r="C26" s="161">
        <v>13.18783</v>
      </c>
      <c r="D26" s="143">
        <v>1251.27</v>
      </c>
      <c r="E26" s="100">
        <f t="shared" si="0"/>
        <v>1.0539555811295724E-2</v>
      </c>
      <c r="H26" s="165"/>
      <c r="I26" s="132"/>
      <c r="J26" s="135"/>
      <c r="K26" s="135"/>
      <c r="L26" s="135"/>
    </row>
    <row r="27" spans="1:12" ht="15.75">
      <c r="A27" s="43">
        <v>25</v>
      </c>
      <c r="B27" s="3" t="s">
        <v>7</v>
      </c>
      <c r="C27" s="161">
        <v>16.432650000000002</v>
      </c>
      <c r="D27" s="143">
        <v>1251.27</v>
      </c>
      <c r="E27" s="100">
        <f t="shared" si="0"/>
        <v>1.3132777098467959E-2</v>
      </c>
      <c r="H27" s="165"/>
      <c r="I27" s="132"/>
      <c r="J27" s="135"/>
      <c r="K27" s="135"/>
      <c r="L27" s="135"/>
    </row>
    <row r="28" spans="1:12" ht="15.75">
      <c r="A28" s="43">
        <v>26</v>
      </c>
      <c r="B28" s="3" t="s">
        <v>22</v>
      </c>
      <c r="C28" s="161">
        <v>54.291410000000006</v>
      </c>
      <c r="D28" s="143">
        <v>1251.27</v>
      </c>
      <c r="E28" s="100">
        <f t="shared" si="0"/>
        <v>4.3389044730553765E-2</v>
      </c>
      <c r="H28" s="165"/>
      <c r="I28" s="132"/>
      <c r="J28" s="135"/>
      <c r="K28" s="135"/>
      <c r="L28" s="135"/>
    </row>
    <row r="29" spans="1:12" ht="15.75">
      <c r="A29" s="43">
        <v>27</v>
      </c>
      <c r="B29" s="3" t="s">
        <v>18</v>
      </c>
      <c r="C29" s="161">
        <v>50.530889999999999</v>
      </c>
      <c r="D29" s="143">
        <v>1251.27</v>
      </c>
      <c r="E29" s="100">
        <f t="shared" si="0"/>
        <v>4.0383682178906234E-2</v>
      </c>
      <c r="H29" s="165"/>
      <c r="I29" s="132"/>
      <c r="J29" s="135"/>
      <c r="K29" s="135"/>
      <c r="L29" s="135"/>
    </row>
    <row r="30" spans="1:12" ht="18" customHeight="1">
      <c r="A30" s="43">
        <v>28</v>
      </c>
      <c r="B30" s="3" t="s">
        <v>4</v>
      </c>
      <c r="C30" s="161">
        <v>67.9803</v>
      </c>
      <c r="D30" s="143">
        <v>1251.27</v>
      </c>
      <c r="E30" s="100">
        <f t="shared" si="0"/>
        <v>5.4329041693639266E-2</v>
      </c>
      <c r="H30" s="165"/>
      <c r="I30" s="132"/>
      <c r="J30" s="135"/>
      <c r="K30" s="135"/>
      <c r="L30" s="135"/>
    </row>
    <row r="31" spans="1:12" ht="15.75">
      <c r="A31" s="43">
        <v>29</v>
      </c>
      <c r="B31" s="3" t="s">
        <v>16</v>
      </c>
      <c r="C31" s="161">
        <v>8.475620000000001</v>
      </c>
      <c r="D31" s="143">
        <v>1251.27</v>
      </c>
      <c r="E31" s="100">
        <v>0</v>
      </c>
      <c r="H31" s="165"/>
      <c r="I31" s="132"/>
      <c r="J31" s="135"/>
      <c r="K31" s="135"/>
      <c r="L31" s="135"/>
    </row>
    <row r="32" spans="1:12" ht="15.75">
      <c r="A32" s="43">
        <v>30</v>
      </c>
      <c r="B32" s="3" t="s">
        <v>32</v>
      </c>
      <c r="C32" s="145">
        <v>0</v>
      </c>
      <c r="D32" s="143">
        <v>1251.27</v>
      </c>
      <c r="E32" s="100">
        <v>0</v>
      </c>
      <c r="H32" s="166"/>
      <c r="I32" s="132"/>
      <c r="J32" s="135"/>
      <c r="K32" s="135"/>
      <c r="L32" s="135"/>
    </row>
    <row r="33" spans="1:12" ht="15.75">
      <c r="A33" s="43">
        <v>31</v>
      </c>
      <c r="B33" s="3" t="s">
        <v>12</v>
      </c>
      <c r="C33" s="162">
        <v>20.228060000000003</v>
      </c>
      <c r="D33" s="143">
        <v>1251.27</v>
      </c>
      <c r="E33" s="100">
        <f>C33/D33</f>
        <v>1.6166023320306571E-2</v>
      </c>
      <c r="H33" s="165"/>
      <c r="I33" s="132"/>
      <c r="J33" s="135"/>
      <c r="K33" s="135"/>
      <c r="L33" s="135"/>
    </row>
    <row r="34" spans="1:12" ht="15.75">
      <c r="A34" s="20"/>
      <c r="B34" s="19" t="s">
        <v>49</v>
      </c>
      <c r="C34" s="163">
        <f>SUM(C3:C33)</f>
        <v>1251.2732899999999</v>
      </c>
      <c r="D34" s="138"/>
      <c r="E34" s="13"/>
      <c r="H34" s="132"/>
      <c r="I34" s="135"/>
      <c r="J34" s="135"/>
      <c r="K34" s="135"/>
      <c r="L34" s="135"/>
    </row>
    <row r="35" spans="1:12" ht="40.5">
      <c r="A35" s="34"/>
      <c r="B35" s="73" t="s">
        <v>70</v>
      </c>
      <c r="C35" s="44"/>
      <c r="D35" s="44"/>
      <c r="E35" s="44"/>
      <c r="H35" s="135"/>
      <c r="I35" s="135"/>
      <c r="J35" s="135"/>
      <c r="K35" s="135"/>
      <c r="L35" s="135"/>
    </row>
    <row r="36" spans="1:12" ht="85.5" customHeight="1">
      <c r="A36" s="43" t="s">
        <v>137</v>
      </c>
      <c r="B36" s="57" t="s">
        <v>41</v>
      </c>
      <c r="C36" s="57" t="s">
        <v>68</v>
      </c>
      <c r="D36" s="57" t="s">
        <v>125</v>
      </c>
      <c r="E36" s="57" t="s">
        <v>132</v>
      </c>
      <c r="H36" s="135"/>
      <c r="I36" s="135"/>
      <c r="J36" s="135"/>
      <c r="K36" s="135"/>
      <c r="L36" s="135"/>
    </row>
    <row r="37" spans="1:12" ht="21.75" customHeight="1">
      <c r="A37" s="43">
        <v>1</v>
      </c>
      <c r="B37" s="3" t="s">
        <v>33</v>
      </c>
      <c r="C37" s="161">
        <v>347.68546999999995</v>
      </c>
      <c r="D37" s="144">
        <v>715.11</v>
      </c>
      <c r="E37" s="138">
        <f>C37/D37</f>
        <v>0.48619858483310252</v>
      </c>
      <c r="H37" s="165"/>
      <c r="I37" s="135"/>
      <c r="J37" s="135"/>
      <c r="K37" s="135"/>
      <c r="L37" s="135"/>
    </row>
    <row r="38" spans="1:12" ht="28.5" customHeight="1">
      <c r="A38" s="43">
        <v>2</v>
      </c>
      <c r="B38" s="3" t="s">
        <v>36</v>
      </c>
      <c r="C38" s="161">
        <v>262.42484999999999</v>
      </c>
      <c r="D38" s="144">
        <v>715.11</v>
      </c>
      <c r="E38" s="138">
        <f>C38/D38</f>
        <v>0.36697130511389853</v>
      </c>
      <c r="H38" s="165"/>
      <c r="I38" s="135"/>
      <c r="J38" s="135"/>
      <c r="K38" s="135"/>
      <c r="L38" s="135"/>
    </row>
    <row r="39" spans="1:12" ht="20.25" customHeight="1">
      <c r="A39" s="43">
        <v>3</v>
      </c>
      <c r="B39" s="3" t="s">
        <v>34</v>
      </c>
      <c r="C39" s="161">
        <v>138.30192000000002</v>
      </c>
      <c r="D39" s="144">
        <v>715.11</v>
      </c>
      <c r="E39" s="138">
        <f>C39/D39</f>
        <v>0.19339950497126318</v>
      </c>
      <c r="H39" s="165"/>
      <c r="I39" s="135"/>
      <c r="J39" s="135"/>
      <c r="K39" s="135"/>
      <c r="L39" s="135"/>
    </row>
    <row r="40" spans="1:12" ht="38.25" customHeight="1">
      <c r="A40" s="43">
        <v>4</v>
      </c>
      <c r="B40" s="3" t="s">
        <v>35</v>
      </c>
      <c r="C40" s="162">
        <v>-33.30527</v>
      </c>
      <c r="D40" s="144">
        <v>715.11</v>
      </c>
      <c r="E40" s="138">
        <f>C40/D40</f>
        <v>-4.6573632028638949E-2</v>
      </c>
      <c r="H40" s="165"/>
      <c r="I40" s="135"/>
      <c r="J40" s="135"/>
      <c r="K40" s="135"/>
      <c r="L40" s="135"/>
    </row>
    <row r="41" spans="1:12" ht="15.75">
      <c r="A41" s="20"/>
      <c r="B41" s="19" t="s">
        <v>49</v>
      </c>
      <c r="C41" s="160">
        <f>SUM(C37:C40)</f>
        <v>715.10697000000005</v>
      </c>
      <c r="D41" s="27"/>
      <c r="E41" s="27"/>
      <c r="H41" s="135"/>
      <c r="I41" s="135"/>
      <c r="J41" s="135"/>
      <c r="K41" s="135"/>
      <c r="L41" s="135"/>
    </row>
    <row r="42" spans="1:12">
      <c r="B42" s="7"/>
      <c r="C42" s="7"/>
      <c r="D42" s="7"/>
      <c r="E42" s="7"/>
      <c r="H42" s="135"/>
      <c r="I42" s="135"/>
      <c r="J42" s="135"/>
      <c r="K42" s="135"/>
      <c r="L42" s="135"/>
    </row>
    <row r="43" spans="1:12" ht="15.75">
      <c r="B43" s="26"/>
      <c r="C43" s="7"/>
      <c r="D43" s="7"/>
      <c r="E43" s="7"/>
      <c r="H43" s="135"/>
      <c r="I43" s="135"/>
      <c r="J43" s="135"/>
      <c r="K43" s="135"/>
      <c r="L43" s="135"/>
    </row>
    <row r="44" spans="1:12">
      <c r="H44" s="135"/>
      <c r="I44" s="135"/>
      <c r="J44" s="135"/>
      <c r="K44" s="135"/>
      <c r="L44" s="135"/>
    </row>
  </sheetData>
  <sortState ref="B37:E40">
    <sortCondition descending="1" ref="E37:E40"/>
  </sortState>
  <phoneticPr fontId="5" type="noConversion"/>
  <pageMargins left="0.39" right="0.28000000000000003" top="0.3" bottom="0.26" header="0.19" footer="0.17"/>
  <pageSetup paperSize="9" scale="85" orientation="landscape" verticalDpi="200" r:id="rId1"/>
  <headerFooter alignWithMargins="0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115" zoomScaleNormal="115" workbookViewId="0">
      <selection activeCell="D45" sqref="D45"/>
    </sheetView>
  </sheetViews>
  <sheetFormatPr defaultRowHeight="12.75"/>
  <cols>
    <col min="1" max="1" width="7.42578125" customWidth="1"/>
    <col min="2" max="2" width="69.85546875" customWidth="1"/>
    <col min="3" max="3" width="16.140625" customWidth="1"/>
    <col min="4" max="4" width="16.28515625" customWidth="1"/>
    <col min="5" max="5" width="17.7109375" customWidth="1"/>
    <col min="9" max="9" width="10.5703125" bestFit="1" customWidth="1"/>
  </cols>
  <sheetData>
    <row r="1" spans="1:11" ht="40.5">
      <c r="B1" s="60" t="s">
        <v>121</v>
      </c>
      <c r="C1" s="7"/>
      <c r="D1" s="7"/>
      <c r="E1" s="7"/>
    </row>
    <row r="2" spans="1:11" ht="120.75" customHeight="1">
      <c r="A2" s="153" t="s">
        <v>99</v>
      </c>
      <c r="B2" s="57" t="s">
        <v>0</v>
      </c>
      <c r="C2" s="57" t="s">
        <v>160</v>
      </c>
      <c r="D2" s="57" t="s">
        <v>45</v>
      </c>
      <c r="E2" s="57" t="s">
        <v>147</v>
      </c>
    </row>
    <row r="3" spans="1:11" s="10" customFormat="1" ht="15.75">
      <c r="A3" s="46">
        <v>1</v>
      </c>
      <c r="B3" s="1" t="s">
        <v>26</v>
      </c>
      <c r="C3" s="152">
        <v>86.325000000000003</v>
      </c>
      <c r="D3" s="154">
        <v>744.45</v>
      </c>
      <c r="E3" s="12">
        <f t="shared" ref="E3:E33" si="0">C3/D3</f>
        <v>0.115958089865001</v>
      </c>
      <c r="H3" s="155"/>
      <c r="I3" s="156"/>
      <c r="J3" s="157"/>
      <c r="K3" s="155"/>
    </row>
    <row r="4" spans="1:11" s="10" customFormat="1" ht="15.75">
      <c r="A4" s="46">
        <v>2</v>
      </c>
      <c r="B4" s="1" t="s">
        <v>10</v>
      </c>
      <c r="C4" s="152">
        <v>70.833330000000004</v>
      </c>
      <c r="D4" s="154">
        <v>744.45</v>
      </c>
      <c r="E4" s="12">
        <f t="shared" si="0"/>
        <v>9.5148539190006043E-2</v>
      </c>
      <c r="H4" s="155"/>
      <c r="I4" s="158"/>
      <c r="J4" s="157"/>
      <c r="K4" s="155"/>
    </row>
    <row r="5" spans="1:11" s="10" customFormat="1" ht="15.75">
      <c r="A5" s="46">
        <v>3</v>
      </c>
      <c r="B5" s="1" t="s">
        <v>13</v>
      </c>
      <c r="C5" s="152">
        <v>58</v>
      </c>
      <c r="D5" s="154">
        <v>744.45</v>
      </c>
      <c r="E5" s="12">
        <f t="shared" si="0"/>
        <v>7.7909866344281015E-2</v>
      </c>
      <c r="H5" s="155"/>
      <c r="I5" s="158"/>
      <c r="J5" s="157"/>
      <c r="K5" s="155"/>
    </row>
    <row r="6" spans="1:11" s="10" customFormat="1" ht="15.75">
      <c r="A6" s="46">
        <v>4</v>
      </c>
      <c r="B6" s="1" t="s">
        <v>5</v>
      </c>
      <c r="C6" s="23">
        <v>54.166699999999999</v>
      </c>
      <c r="D6" s="154">
        <v>744.45</v>
      </c>
      <c r="E6" s="12">
        <f t="shared" si="0"/>
        <v>7.2760695815702867E-2</v>
      </c>
      <c r="H6" s="155"/>
      <c r="I6" s="158"/>
      <c r="J6" s="157"/>
      <c r="K6" s="155"/>
    </row>
    <row r="7" spans="1:11" s="10" customFormat="1" ht="15.75">
      <c r="A7" s="46">
        <v>5</v>
      </c>
      <c r="B7" s="1" t="s">
        <v>20</v>
      </c>
      <c r="C7" s="152">
        <v>45.833309999999997</v>
      </c>
      <c r="D7" s="154">
        <v>744.45</v>
      </c>
      <c r="E7" s="12">
        <f t="shared" si="0"/>
        <v>6.1566673383034447E-2</v>
      </c>
      <c r="H7" s="155"/>
      <c r="I7" s="158"/>
      <c r="J7" s="157"/>
      <c r="K7" s="155"/>
    </row>
    <row r="8" spans="1:11" s="10" customFormat="1" ht="15.75">
      <c r="A8" s="46">
        <v>6</v>
      </c>
      <c r="B8" s="1" t="s">
        <v>19</v>
      </c>
      <c r="C8" s="152">
        <v>44.75</v>
      </c>
      <c r="D8" s="154">
        <v>744.45</v>
      </c>
      <c r="E8" s="12">
        <f t="shared" si="0"/>
        <v>6.0111491705285777E-2</v>
      </c>
      <c r="H8" s="155"/>
      <c r="I8" s="158"/>
      <c r="J8" s="157"/>
      <c r="K8" s="155"/>
    </row>
    <row r="9" spans="1:11" s="10" customFormat="1" ht="15.75">
      <c r="A9" s="46">
        <v>7</v>
      </c>
      <c r="B9" s="1" t="s">
        <v>24</v>
      </c>
      <c r="C9" s="152">
        <v>42.5</v>
      </c>
      <c r="D9" s="154">
        <v>744.45</v>
      </c>
      <c r="E9" s="12">
        <f t="shared" si="0"/>
        <v>5.708912620055074E-2</v>
      </c>
      <c r="H9" s="155"/>
      <c r="I9" s="158"/>
      <c r="J9" s="157"/>
      <c r="K9" s="155"/>
    </row>
    <row r="10" spans="1:11" s="10" customFormat="1" ht="15.75">
      <c r="A10" s="46">
        <v>8</v>
      </c>
      <c r="B10" s="1" t="s">
        <v>15</v>
      </c>
      <c r="C10" s="152">
        <v>41.666669999999996</v>
      </c>
      <c r="D10" s="154">
        <v>744.45</v>
      </c>
      <c r="E10" s="12">
        <f t="shared" si="0"/>
        <v>5.5969736046745912E-2</v>
      </c>
      <c r="H10" s="155"/>
      <c r="I10" s="158"/>
      <c r="J10" s="157"/>
      <c r="K10" s="155"/>
    </row>
    <row r="11" spans="1:11" s="10" customFormat="1" ht="15.75">
      <c r="A11" s="46">
        <v>9</v>
      </c>
      <c r="B11" s="1" t="s">
        <v>25</v>
      </c>
      <c r="C11" s="152">
        <v>41.666650000000004</v>
      </c>
      <c r="D11" s="154">
        <v>744.45</v>
      </c>
      <c r="E11" s="12">
        <f t="shared" si="0"/>
        <v>5.5969709181274765E-2</v>
      </c>
      <c r="H11" s="155"/>
      <c r="I11" s="158"/>
      <c r="J11" s="157"/>
      <c r="K11" s="155"/>
    </row>
    <row r="12" spans="1:11" s="10" customFormat="1" ht="15.75">
      <c r="A12" s="46">
        <v>10</v>
      </c>
      <c r="B12" s="1" t="s">
        <v>8</v>
      </c>
      <c r="C12" s="152">
        <v>40.916669999999996</v>
      </c>
      <c r="D12" s="154">
        <v>744.45</v>
      </c>
      <c r="E12" s="12">
        <f t="shared" si="0"/>
        <v>5.4962280878500899E-2</v>
      </c>
      <c r="H12" s="155"/>
      <c r="I12" s="158"/>
      <c r="J12" s="157"/>
      <c r="K12" s="155"/>
    </row>
    <row r="13" spans="1:11" s="10" customFormat="1" ht="15.75">
      <c r="A13" s="46">
        <v>11</v>
      </c>
      <c r="B13" s="1" t="s">
        <v>6</v>
      </c>
      <c r="C13" s="152">
        <v>36.91666</v>
      </c>
      <c r="D13" s="154">
        <v>744.45</v>
      </c>
      <c r="E13" s="12">
        <f t="shared" si="0"/>
        <v>4.9589173215125258E-2</v>
      </c>
      <c r="H13" s="155"/>
      <c r="I13" s="158"/>
      <c r="J13" s="157"/>
      <c r="K13" s="155"/>
    </row>
    <row r="14" spans="1:11" s="10" customFormat="1" ht="15.75">
      <c r="A14" s="46">
        <v>12</v>
      </c>
      <c r="B14" s="1" t="s">
        <v>27</v>
      </c>
      <c r="C14" s="152">
        <v>31.792330000000003</v>
      </c>
      <c r="D14" s="154">
        <v>744.45</v>
      </c>
      <c r="E14" s="12">
        <f t="shared" si="0"/>
        <v>4.2705796225401306E-2</v>
      </c>
      <c r="H14" s="155"/>
      <c r="I14" s="158"/>
      <c r="J14" s="157"/>
      <c r="K14" s="155"/>
    </row>
    <row r="15" spans="1:11" s="10" customFormat="1" ht="15.75">
      <c r="A15" s="46">
        <v>13</v>
      </c>
      <c r="B15" s="1" t="s">
        <v>4</v>
      </c>
      <c r="C15" s="152">
        <v>26.66667</v>
      </c>
      <c r="D15" s="154">
        <v>744.45</v>
      </c>
      <c r="E15" s="12">
        <f t="shared" si="0"/>
        <v>3.5820632681845654E-2</v>
      </c>
      <c r="H15" s="155"/>
      <c r="I15" s="158"/>
      <c r="J15" s="157"/>
      <c r="K15" s="155"/>
    </row>
    <row r="16" spans="1:11" s="10" customFormat="1" ht="15.75">
      <c r="A16" s="46">
        <v>14</v>
      </c>
      <c r="B16" s="1" t="s">
        <v>7</v>
      </c>
      <c r="C16" s="152">
        <v>22.917000000000002</v>
      </c>
      <c r="D16" s="154">
        <v>744.45</v>
      </c>
      <c r="E16" s="12">
        <f t="shared" si="0"/>
        <v>3.0783800120894621E-2</v>
      </c>
      <c r="H16" s="155"/>
      <c r="I16" s="158"/>
      <c r="J16" s="157"/>
      <c r="K16" s="155"/>
    </row>
    <row r="17" spans="1:11" s="10" customFormat="1" ht="15.75">
      <c r="A17" s="46">
        <v>15</v>
      </c>
      <c r="B17" s="1" t="s">
        <v>14</v>
      </c>
      <c r="C17" s="152">
        <v>20.83333</v>
      </c>
      <c r="D17" s="154">
        <v>744.45</v>
      </c>
      <c r="E17" s="12">
        <f t="shared" si="0"/>
        <v>2.7984861307005171E-2</v>
      </c>
      <c r="H17" s="155"/>
      <c r="I17" s="158"/>
      <c r="J17" s="157"/>
      <c r="K17" s="155"/>
    </row>
    <row r="18" spans="1:11" s="10" customFormat="1" ht="15.75">
      <c r="A18" s="46">
        <v>16</v>
      </c>
      <c r="B18" s="1" t="s">
        <v>9</v>
      </c>
      <c r="C18" s="152">
        <v>20.83333</v>
      </c>
      <c r="D18" s="154">
        <v>744.45</v>
      </c>
      <c r="E18" s="12">
        <f t="shared" si="0"/>
        <v>2.7984861307005171E-2</v>
      </c>
      <c r="H18" s="155"/>
      <c r="I18" s="158"/>
      <c r="J18" s="157"/>
      <c r="K18" s="155"/>
    </row>
    <row r="19" spans="1:11" s="10" customFormat="1" ht="15.75">
      <c r="A19" s="46">
        <v>17</v>
      </c>
      <c r="B19" s="1" t="s">
        <v>31</v>
      </c>
      <c r="C19" s="152">
        <v>17</v>
      </c>
      <c r="D19" s="154">
        <v>744.45</v>
      </c>
      <c r="E19" s="12">
        <f t="shared" si="0"/>
        <v>2.2835650480220297E-2</v>
      </c>
      <c r="H19" s="155"/>
      <c r="I19" s="158"/>
      <c r="J19" s="157"/>
      <c r="K19" s="155"/>
    </row>
    <row r="20" spans="1:11" s="10" customFormat="1" ht="15.75">
      <c r="A20" s="46">
        <v>18</v>
      </c>
      <c r="B20" s="1" t="s">
        <v>29</v>
      </c>
      <c r="C20" s="152">
        <v>16.66667</v>
      </c>
      <c r="D20" s="154">
        <v>744.45</v>
      </c>
      <c r="E20" s="12">
        <f t="shared" si="0"/>
        <v>2.2387897105245483E-2</v>
      </c>
      <c r="H20" s="155"/>
      <c r="I20" s="158"/>
      <c r="J20" s="157"/>
      <c r="K20" s="155"/>
    </row>
    <row r="21" spans="1:11" s="10" customFormat="1" ht="15.75">
      <c r="A21" s="46">
        <v>19</v>
      </c>
      <c r="B21" s="1" t="s">
        <v>133</v>
      </c>
      <c r="C21" s="152">
        <v>12.5</v>
      </c>
      <c r="D21" s="154">
        <v>744.45</v>
      </c>
      <c r="E21" s="12">
        <f t="shared" si="0"/>
        <v>1.6790919470750218E-2</v>
      </c>
      <c r="H21" s="155"/>
      <c r="I21" s="158"/>
      <c r="J21" s="157"/>
      <c r="K21" s="155"/>
    </row>
    <row r="22" spans="1:11" s="10" customFormat="1" ht="15.75">
      <c r="A22" s="46">
        <v>20</v>
      </c>
      <c r="B22" s="1" t="s">
        <v>11</v>
      </c>
      <c r="C22" s="152">
        <v>11.666669999999998</v>
      </c>
      <c r="D22" s="154">
        <v>744.45</v>
      </c>
      <c r="E22" s="12">
        <f t="shared" si="0"/>
        <v>1.5671529316945394E-2</v>
      </c>
      <c r="H22" s="155"/>
      <c r="I22" s="158"/>
      <c r="J22" s="157"/>
      <c r="K22" s="155"/>
    </row>
    <row r="23" spans="1:11" s="10" customFormat="1" ht="15.75">
      <c r="A23" s="46">
        <v>21</v>
      </c>
      <c r="B23" s="1" t="s">
        <v>21</v>
      </c>
      <c r="C23" s="152">
        <v>0</v>
      </c>
      <c r="D23" s="154">
        <v>744.45</v>
      </c>
      <c r="E23" s="12">
        <f t="shared" si="0"/>
        <v>0</v>
      </c>
      <c r="H23" s="155"/>
      <c r="I23" s="158"/>
      <c r="J23" s="157"/>
      <c r="K23" s="155"/>
    </row>
    <row r="24" spans="1:11" s="10" customFormat="1" ht="15.75">
      <c r="A24" s="46">
        <v>22</v>
      </c>
      <c r="B24" s="1" t="s">
        <v>30</v>
      </c>
      <c r="C24" s="152">
        <v>0</v>
      </c>
      <c r="D24" s="154">
        <v>744.45</v>
      </c>
      <c r="E24" s="12">
        <f t="shared" si="0"/>
        <v>0</v>
      </c>
      <c r="H24" s="155"/>
      <c r="I24" s="158"/>
      <c r="J24" s="157"/>
      <c r="K24" s="155"/>
    </row>
    <row r="25" spans="1:11" s="10" customFormat="1" ht="15.75">
      <c r="A25" s="46">
        <v>23</v>
      </c>
      <c r="B25" s="1" t="s">
        <v>23</v>
      </c>
      <c r="C25" s="152">
        <v>0</v>
      </c>
      <c r="D25" s="154">
        <v>744.45</v>
      </c>
      <c r="E25" s="12">
        <f t="shared" si="0"/>
        <v>0</v>
      </c>
      <c r="H25" s="155"/>
      <c r="I25" s="158"/>
      <c r="J25" s="157"/>
      <c r="K25" s="155"/>
    </row>
    <row r="26" spans="1:11" s="10" customFormat="1" ht="15.75">
      <c r="A26" s="46">
        <v>24</v>
      </c>
      <c r="B26" s="1" t="s">
        <v>28</v>
      </c>
      <c r="C26" s="152">
        <v>0</v>
      </c>
      <c r="D26" s="154">
        <v>744.45</v>
      </c>
      <c r="E26" s="12">
        <f t="shared" si="0"/>
        <v>0</v>
      </c>
      <c r="H26" s="155"/>
      <c r="I26" s="158"/>
      <c r="J26" s="157"/>
      <c r="K26" s="155"/>
    </row>
    <row r="27" spans="1:11" s="10" customFormat="1" ht="15.75">
      <c r="A27" s="46">
        <v>25</v>
      </c>
      <c r="B27" s="1" t="s">
        <v>17</v>
      </c>
      <c r="C27" s="152">
        <v>0</v>
      </c>
      <c r="D27" s="154">
        <v>744.45</v>
      </c>
      <c r="E27" s="12">
        <f t="shared" si="0"/>
        <v>0</v>
      </c>
      <c r="H27" s="155"/>
      <c r="I27" s="158"/>
      <c r="J27" s="157"/>
      <c r="K27" s="155"/>
    </row>
    <row r="28" spans="1:11" s="10" customFormat="1" ht="15.75">
      <c r="A28" s="46">
        <v>26</v>
      </c>
      <c r="B28" s="1" t="s">
        <v>112</v>
      </c>
      <c r="C28" s="152">
        <v>0</v>
      </c>
      <c r="D28" s="154">
        <v>744.45</v>
      </c>
      <c r="E28" s="12">
        <f t="shared" si="0"/>
        <v>0</v>
      </c>
      <c r="H28" s="155"/>
      <c r="I28" s="158"/>
      <c r="J28" s="157"/>
      <c r="K28" s="155"/>
    </row>
    <row r="29" spans="1:11" s="10" customFormat="1" ht="15.75">
      <c r="A29" s="46">
        <v>27</v>
      </c>
      <c r="B29" s="1" t="s">
        <v>22</v>
      </c>
      <c r="C29" s="152">
        <v>0</v>
      </c>
      <c r="D29" s="154">
        <v>744.45</v>
      </c>
      <c r="E29" s="12">
        <f t="shared" si="0"/>
        <v>0</v>
      </c>
      <c r="H29" s="155"/>
      <c r="I29" s="158"/>
      <c r="J29" s="157"/>
      <c r="K29" s="155"/>
    </row>
    <row r="30" spans="1:11" s="10" customFormat="1" ht="15.75">
      <c r="A30" s="46">
        <v>28</v>
      </c>
      <c r="B30" s="1" t="s">
        <v>18</v>
      </c>
      <c r="C30" s="152">
        <v>0</v>
      </c>
      <c r="D30" s="154">
        <v>744.45</v>
      </c>
      <c r="E30" s="12">
        <f t="shared" si="0"/>
        <v>0</v>
      </c>
      <c r="H30" s="155"/>
      <c r="I30" s="158"/>
      <c r="J30" s="157"/>
      <c r="K30" s="155"/>
    </row>
    <row r="31" spans="1:11" s="10" customFormat="1" ht="15.75">
      <c r="A31" s="46">
        <v>29</v>
      </c>
      <c r="B31" s="1" t="s">
        <v>16</v>
      </c>
      <c r="C31" s="152">
        <v>0</v>
      </c>
      <c r="D31" s="154">
        <v>744.45</v>
      </c>
      <c r="E31" s="12">
        <f t="shared" si="0"/>
        <v>0</v>
      </c>
      <c r="H31" s="155"/>
      <c r="I31" s="158"/>
      <c r="J31" s="157"/>
      <c r="K31" s="155"/>
    </row>
    <row r="32" spans="1:11" s="10" customFormat="1" ht="15.75">
      <c r="A32" s="46">
        <v>30</v>
      </c>
      <c r="B32" s="1" t="s">
        <v>32</v>
      </c>
      <c r="C32" s="152">
        <v>0</v>
      </c>
      <c r="D32" s="154">
        <v>744.45</v>
      </c>
      <c r="E32" s="12">
        <f t="shared" si="0"/>
        <v>0</v>
      </c>
      <c r="H32" s="155"/>
      <c r="I32" s="158"/>
      <c r="J32" s="157"/>
      <c r="K32" s="155"/>
    </row>
    <row r="33" spans="1:11" s="10" customFormat="1" ht="15.75">
      <c r="A33" s="46">
        <v>31</v>
      </c>
      <c r="B33" s="1" t="s">
        <v>12</v>
      </c>
      <c r="C33" s="152">
        <v>0</v>
      </c>
      <c r="D33" s="154">
        <v>744.45</v>
      </c>
      <c r="E33" s="12">
        <f t="shared" si="0"/>
        <v>0</v>
      </c>
      <c r="H33" s="155"/>
      <c r="I33" s="158"/>
      <c r="J33" s="157"/>
      <c r="K33" s="155"/>
    </row>
    <row r="34" spans="1:11" ht="15.75">
      <c r="B34" s="45" t="s">
        <v>46</v>
      </c>
      <c r="C34" s="16">
        <f>SUM(C3:C33)</f>
        <v>744.45098999999993</v>
      </c>
      <c r="D34" s="16"/>
      <c r="E34" s="15"/>
      <c r="H34" s="135"/>
      <c r="I34" s="135"/>
      <c r="J34" s="135"/>
      <c r="K34" s="135"/>
    </row>
    <row r="35" spans="1:11" ht="37.5" customHeight="1">
      <c r="A35" s="37"/>
      <c r="B35" s="72" t="s">
        <v>120</v>
      </c>
      <c r="C35" s="42"/>
      <c r="D35" s="42"/>
      <c r="E35" s="42"/>
      <c r="H35" s="135"/>
      <c r="I35" s="135"/>
      <c r="J35" s="135"/>
      <c r="K35" s="135"/>
    </row>
    <row r="36" spans="1:11" ht="117" customHeight="1">
      <c r="A36" s="43" t="s">
        <v>99</v>
      </c>
      <c r="B36" s="57" t="s">
        <v>41</v>
      </c>
      <c r="C36" s="57" t="s">
        <v>159</v>
      </c>
      <c r="D36" s="57" t="s">
        <v>45</v>
      </c>
      <c r="E36" s="57" t="s">
        <v>120</v>
      </c>
    </row>
    <row r="37" spans="1:11" ht="30.75" customHeight="1">
      <c r="A37" s="43">
        <v>1</v>
      </c>
      <c r="B37" s="3" t="s">
        <v>35</v>
      </c>
      <c r="C37" s="152">
        <v>241.66</v>
      </c>
      <c r="D37" s="13">
        <v>744.45</v>
      </c>
      <c r="E37" s="13">
        <f>C37/D37</f>
        <v>0.32461548794411982</v>
      </c>
    </row>
    <row r="38" spans="1:11" ht="17.25" customHeight="1">
      <c r="A38" s="46">
        <v>2</v>
      </c>
      <c r="B38" s="3" t="s">
        <v>33</v>
      </c>
      <c r="C38" s="13">
        <v>227.96</v>
      </c>
      <c r="D38" s="13">
        <v>744.45</v>
      </c>
      <c r="E38" s="13">
        <f>C38/D38</f>
        <v>0.3062126402041776</v>
      </c>
    </row>
    <row r="39" spans="1:11" ht="21.75" customHeight="1">
      <c r="A39" s="43">
        <v>3</v>
      </c>
      <c r="B39" s="3" t="s">
        <v>34</v>
      </c>
      <c r="C39" s="23">
        <v>176.75</v>
      </c>
      <c r="D39" s="13">
        <v>744.45</v>
      </c>
      <c r="E39" s="13">
        <f>C39/D39</f>
        <v>0.23742360131640808</v>
      </c>
      <c r="I39" s="141"/>
    </row>
    <row r="40" spans="1:11" ht="15" customHeight="1">
      <c r="A40" s="43">
        <v>4</v>
      </c>
      <c r="B40" s="3" t="s">
        <v>36</v>
      </c>
      <c r="C40" s="152">
        <v>98.08</v>
      </c>
      <c r="D40" s="13">
        <v>744.45</v>
      </c>
      <c r="E40" s="13">
        <f>C40/D40</f>
        <v>0.1317482705352945</v>
      </c>
      <c r="I40" s="140"/>
    </row>
    <row r="41" spans="1:11" ht="15.75">
      <c r="A41" s="20"/>
      <c r="B41" s="9" t="s">
        <v>46</v>
      </c>
      <c r="C41" s="16">
        <f>SUM(C37:C40)</f>
        <v>744.45</v>
      </c>
      <c r="D41" s="21"/>
      <c r="E41" s="21"/>
      <c r="I41" s="142"/>
    </row>
    <row r="42" spans="1:11">
      <c r="B42" s="7"/>
      <c r="C42" s="7"/>
      <c r="D42" s="7"/>
      <c r="E42" s="7"/>
    </row>
    <row r="43" spans="1:11" ht="15.75">
      <c r="B43" s="8"/>
      <c r="E43" s="14"/>
    </row>
  </sheetData>
  <sortState ref="B3:E33">
    <sortCondition descending="1" ref="E3:E33"/>
  </sortState>
  <phoneticPr fontId="5" type="noConversion"/>
  <pageMargins left="0.53" right="0.75" top="0.25" bottom="0.36" header="0.2" footer="0.26"/>
  <pageSetup paperSize="9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8"/>
  <sheetViews>
    <sheetView topLeftCell="A4" zoomScale="70" zoomScaleNormal="70" workbookViewId="0">
      <selection activeCell="I39" sqref="I39"/>
    </sheetView>
  </sheetViews>
  <sheetFormatPr defaultRowHeight="12.75"/>
  <cols>
    <col min="1" max="1" width="6.7109375" customWidth="1"/>
    <col min="2" max="2" width="52.28515625" customWidth="1"/>
    <col min="3" max="3" width="23" customWidth="1"/>
    <col min="4" max="4" width="17.42578125" customWidth="1"/>
    <col min="5" max="5" width="19.42578125" customWidth="1"/>
    <col min="6" max="6" width="18" customWidth="1"/>
    <col min="7" max="7" width="17.140625" customWidth="1"/>
    <col min="8" max="10" width="14.28515625" customWidth="1"/>
    <col min="11" max="11" width="15.7109375" customWidth="1"/>
  </cols>
  <sheetData>
    <row r="1" spans="1:11" ht="45" customHeight="1">
      <c r="B1" s="170" t="s">
        <v>122</v>
      </c>
      <c r="C1" s="170"/>
      <c r="D1" s="7"/>
      <c r="E1" s="7"/>
      <c r="F1" s="7"/>
    </row>
    <row r="2" spans="1:11" ht="148.5" customHeight="1">
      <c r="A2" s="43" t="s">
        <v>99</v>
      </c>
      <c r="B2" s="57" t="s">
        <v>0</v>
      </c>
      <c r="C2" s="57" t="s">
        <v>50</v>
      </c>
      <c r="D2" s="57" t="s">
        <v>51</v>
      </c>
      <c r="E2" s="57" t="s">
        <v>52</v>
      </c>
      <c r="F2" s="57" t="s">
        <v>54</v>
      </c>
      <c r="G2" s="57" t="s">
        <v>53</v>
      </c>
      <c r="H2" s="57" t="s">
        <v>55</v>
      </c>
      <c r="I2" s="57" t="s">
        <v>102</v>
      </c>
      <c r="J2" s="57" t="s">
        <v>103</v>
      </c>
      <c r="K2" s="57" t="s">
        <v>143</v>
      </c>
    </row>
    <row r="3" spans="1:11" ht="15.75">
      <c r="A3" s="43">
        <v>1</v>
      </c>
      <c r="B3" s="9" t="s">
        <v>6</v>
      </c>
      <c r="C3" s="77">
        <v>107</v>
      </c>
      <c r="D3" s="77">
        <v>74100</v>
      </c>
      <c r="E3" s="77">
        <v>18</v>
      </c>
      <c r="F3" s="76">
        <v>36800</v>
      </c>
      <c r="G3" s="76">
        <v>4</v>
      </c>
      <c r="H3" s="76">
        <v>538</v>
      </c>
      <c r="I3" s="76">
        <v>1314</v>
      </c>
      <c r="J3" s="76">
        <v>4763</v>
      </c>
      <c r="K3" s="35">
        <f t="shared" ref="K3:K33" si="0">C3/D3+E3/F3+G3/H3+I3/J3</f>
        <v>0.2852446176684596</v>
      </c>
    </row>
    <row r="4" spans="1:11" s="10" customFormat="1" ht="15.75">
      <c r="A4" s="46">
        <v>2</v>
      </c>
      <c r="B4" s="9" t="s">
        <v>25</v>
      </c>
      <c r="C4" s="77">
        <v>167</v>
      </c>
      <c r="D4" s="77">
        <v>74100</v>
      </c>
      <c r="E4" s="77">
        <v>57</v>
      </c>
      <c r="F4" s="76">
        <v>36800</v>
      </c>
      <c r="G4" s="76">
        <v>10</v>
      </c>
      <c r="H4" s="76">
        <v>538</v>
      </c>
      <c r="I4" s="88">
        <v>1053</v>
      </c>
      <c r="J4" s="76">
        <v>4763</v>
      </c>
      <c r="K4" s="35">
        <f t="shared" si="0"/>
        <v>0.24346913663444056</v>
      </c>
    </row>
    <row r="5" spans="1:11" s="10" customFormat="1" ht="15.75">
      <c r="A5" s="43">
        <v>3</v>
      </c>
      <c r="B5" s="9" t="s">
        <v>10</v>
      </c>
      <c r="C5" s="77">
        <v>314</v>
      </c>
      <c r="D5" s="77">
        <v>74100</v>
      </c>
      <c r="E5" s="77">
        <v>29</v>
      </c>
      <c r="F5" s="76">
        <v>36800</v>
      </c>
      <c r="G5" s="76">
        <v>6</v>
      </c>
      <c r="H5" s="76">
        <v>538</v>
      </c>
      <c r="I5" s="88">
        <v>972</v>
      </c>
      <c r="J5" s="76">
        <v>4763</v>
      </c>
      <c r="K5" s="35">
        <f t="shared" si="0"/>
        <v>0.22025103989969905</v>
      </c>
    </row>
    <row r="6" spans="1:11" s="10" customFormat="1" ht="15.75">
      <c r="A6" s="46">
        <v>4</v>
      </c>
      <c r="B6" s="9" t="s">
        <v>29</v>
      </c>
      <c r="C6" s="77">
        <v>44</v>
      </c>
      <c r="D6" s="77">
        <v>74100</v>
      </c>
      <c r="E6" s="77">
        <v>21</v>
      </c>
      <c r="F6" s="76">
        <v>36800</v>
      </c>
      <c r="G6" s="76">
        <v>5</v>
      </c>
      <c r="H6" s="76">
        <v>538</v>
      </c>
      <c r="I6" s="88">
        <v>989</v>
      </c>
      <c r="J6" s="76">
        <v>4763</v>
      </c>
      <c r="K6" s="35">
        <f t="shared" si="0"/>
        <v>0.21810036692832496</v>
      </c>
    </row>
    <row r="7" spans="1:11" s="10" customFormat="1" ht="15.75" customHeight="1">
      <c r="A7" s="43">
        <v>5</v>
      </c>
      <c r="B7" s="9" t="s">
        <v>13</v>
      </c>
      <c r="C7" s="89">
        <v>427</v>
      </c>
      <c r="D7" s="77">
        <v>74100</v>
      </c>
      <c r="E7" s="77">
        <v>25</v>
      </c>
      <c r="F7" s="76">
        <v>36800</v>
      </c>
      <c r="G7" s="76">
        <v>6</v>
      </c>
      <c r="H7" s="76">
        <v>538</v>
      </c>
      <c r="I7" s="90">
        <v>695</v>
      </c>
      <c r="J7" s="76">
        <v>4763</v>
      </c>
      <c r="K7" s="35">
        <f t="shared" si="0"/>
        <v>0.16351068653284809</v>
      </c>
    </row>
    <row r="8" spans="1:11" s="10" customFormat="1" ht="15.75">
      <c r="A8" s="46">
        <v>6</v>
      </c>
      <c r="B8" s="9" t="s">
        <v>19</v>
      </c>
      <c r="C8" s="77">
        <v>209</v>
      </c>
      <c r="D8" s="77">
        <v>74100</v>
      </c>
      <c r="E8" s="77">
        <v>35</v>
      </c>
      <c r="F8" s="76">
        <v>36800</v>
      </c>
      <c r="G8" s="76">
        <v>7</v>
      </c>
      <c r="H8" s="76">
        <v>538</v>
      </c>
      <c r="I8" s="88">
        <v>554</v>
      </c>
      <c r="J8" s="76">
        <v>4763</v>
      </c>
      <c r="K8" s="35">
        <f t="shared" si="0"/>
        <v>0.13309600014636225</v>
      </c>
    </row>
    <row r="9" spans="1:11" s="10" customFormat="1" ht="31.5">
      <c r="A9" s="43">
        <v>7</v>
      </c>
      <c r="B9" s="9" t="s">
        <v>5</v>
      </c>
      <c r="C9" s="77">
        <v>111</v>
      </c>
      <c r="D9" s="77">
        <v>74100</v>
      </c>
      <c r="E9" s="77">
        <v>30</v>
      </c>
      <c r="F9" s="76">
        <v>36800</v>
      </c>
      <c r="G9" s="76">
        <v>6</v>
      </c>
      <c r="H9" s="76">
        <v>538</v>
      </c>
      <c r="I9" s="88">
        <v>516</v>
      </c>
      <c r="J9" s="76">
        <v>4763</v>
      </c>
      <c r="K9" s="35">
        <f t="shared" si="0"/>
        <v>0.12180069238760959</v>
      </c>
    </row>
    <row r="10" spans="1:11" s="10" customFormat="1" ht="18" customHeight="1">
      <c r="A10" s="46">
        <v>8</v>
      </c>
      <c r="B10" s="9" t="s">
        <v>22</v>
      </c>
      <c r="C10" s="77">
        <v>71</v>
      </c>
      <c r="D10" s="77">
        <v>74100</v>
      </c>
      <c r="E10" s="77">
        <v>17</v>
      </c>
      <c r="F10" s="76">
        <v>36800</v>
      </c>
      <c r="G10" s="76">
        <v>4</v>
      </c>
      <c r="H10" s="76">
        <v>538</v>
      </c>
      <c r="I10" s="88">
        <v>509</v>
      </c>
      <c r="J10" s="76">
        <v>4763</v>
      </c>
      <c r="K10" s="35">
        <f t="shared" si="0"/>
        <v>0.11572048635521329</v>
      </c>
    </row>
    <row r="11" spans="1:11" s="10" customFormat="1" ht="15.75">
      <c r="A11" s="43">
        <v>9</v>
      </c>
      <c r="B11" s="9" t="s">
        <v>17</v>
      </c>
      <c r="C11" s="77">
        <v>123</v>
      </c>
      <c r="D11" s="77">
        <v>74100</v>
      </c>
      <c r="E11" s="77">
        <v>11</v>
      </c>
      <c r="F11" s="76">
        <v>36800</v>
      </c>
      <c r="G11" s="76">
        <v>3</v>
      </c>
      <c r="H11" s="76">
        <v>538</v>
      </c>
      <c r="I11" s="88">
        <v>456</v>
      </c>
      <c r="J11" s="76">
        <v>4763</v>
      </c>
      <c r="K11" s="35">
        <f t="shared" si="0"/>
        <v>0.10327302051479616</v>
      </c>
    </row>
    <row r="12" spans="1:11" s="10" customFormat="1" ht="15.75">
      <c r="A12" s="46">
        <v>10</v>
      </c>
      <c r="B12" s="9" t="s">
        <v>112</v>
      </c>
      <c r="C12" s="84">
        <v>66</v>
      </c>
      <c r="D12" s="77">
        <v>74100</v>
      </c>
      <c r="E12" s="84">
        <v>18</v>
      </c>
      <c r="F12" s="76">
        <v>36800</v>
      </c>
      <c r="G12" s="84">
        <v>6</v>
      </c>
      <c r="H12" s="76">
        <v>538</v>
      </c>
      <c r="I12" s="97">
        <v>415</v>
      </c>
      <c r="J12" s="76">
        <v>4763</v>
      </c>
      <c r="K12" s="35">
        <f t="shared" si="0"/>
        <v>9.9662195159944122E-2</v>
      </c>
    </row>
    <row r="13" spans="1:11" s="10" customFormat="1" ht="15.75">
      <c r="A13" s="43">
        <v>11</v>
      </c>
      <c r="B13" s="9" t="s">
        <v>21</v>
      </c>
      <c r="C13" s="77">
        <v>98</v>
      </c>
      <c r="D13" s="77">
        <v>74100</v>
      </c>
      <c r="E13" s="77">
        <v>27</v>
      </c>
      <c r="F13" s="76">
        <v>36800</v>
      </c>
      <c r="G13" s="76">
        <v>7</v>
      </c>
      <c r="H13" s="76">
        <v>538</v>
      </c>
      <c r="I13" s="88">
        <v>396</v>
      </c>
      <c r="J13" s="76">
        <v>4763</v>
      </c>
      <c r="K13" s="35">
        <f t="shared" si="0"/>
        <v>9.8208262778694003E-2</v>
      </c>
    </row>
    <row r="14" spans="1:11" s="10" customFormat="1" ht="31.5">
      <c r="A14" s="46">
        <v>12</v>
      </c>
      <c r="B14" s="9" t="s">
        <v>4</v>
      </c>
      <c r="C14" s="89">
        <v>190</v>
      </c>
      <c r="D14" s="77">
        <v>74100</v>
      </c>
      <c r="E14" s="77">
        <v>90</v>
      </c>
      <c r="F14" s="76">
        <v>36800</v>
      </c>
      <c r="G14" s="76">
        <v>7</v>
      </c>
      <c r="H14" s="76">
        <v>538</v>
      </c>
      <c r="I14" s="90">
        <v>354</v>
      </c>
      <c r="J14" s="76">
        <v>4763</v>
      </c>
      <c r="K14" s="35">
        <f t="shared" si="0"/>
        <v>9.23438128860542E-2</v>
      </c>
    </row>
    <row r="15" spans="1:11" s="10" customFormat="1" ht="31.5" customHeight="1">
      <c r="A15" s="43">
        <v>13</v>
      </c>
      <c r="B15" s="9" t="s">
        <v>18</v>
      </c>
      <c r="C15" s="84">
        <v>25</v>
      </c>
      <c r="D15" s="77">
        <v>74100</v>
      </c>
      <c r="E15" s="84">
        <v>12</v>
      </c>
      <c r="F15" s="76">
        <v>36800</v>
      </c>
      <c r="G15" s="84">
        <v>2</v>
      </c>
      <c r="H15" s="76">
        <v>538</v>
      </c>
      <c r="I15" s="97">
        <v>406</v>
      </c>
      <c r="J15" s="76">
        <v>4763</v>
      </c>
      <c r="K15" s="35">
        <f t="shared" si="0"/>
        <v>8.9621335701027011E-2</v>
      </c>
    </row>
    <row r="16" spans="1:11" s="10" customFormat="1" ht="15.75">
      <c r="A16" s="46">
        <v>14</v>
      </c>
      <c r="B16" s="9" t="s">
        <v>12</v>
      </c>
      <c r="C16" s="77">
        <v>137</v>
      </c>
      <c r="D16" s="77">
        <v>74100</v>
      </c>
      <c r="E16" s="77">
        <v>15</v>
      </c>
      <c r="F16" s="76">
        <v>36800</v>
      </c>
      <c r="G16" s="76">
        <v>4</v>
      </c>
      <c r="H16" s="76">
        <v>538</v>
      </c>
      <c r="I16" s="88">
        <v>377</v>
      </c>
      <c r="J16" s="76">
        <v>4763</v>
      </c>
      <c r="K16" s="35">
        <f t="shared" si="0"/>
        <v>8.884320092218484E-2</v>
      </c>
    </row>
    <row r="17" spans="1:11" s="10" customFormat="1" ht="15.75">
      <c r="A17" s="43">
        <v>15</v>
      </c>
      <c r="B17" s="9" t="s">
        <v>30</v>
      </c>
      <c r="C17" s="77">
        <v>33</v>
      </c>
      <c r="D17" s="77">
        <v>74100</v>
      </c>
      <c r="E17" s="77">
        <v>13</v>
      </c>
      <c r="F17" s="76">
        <v>36800</v>
      </c>
      <c r="G17" s="76">
        <v>3</v>
      </c>
      <c r="H17" s="76">
        <v>538</v>
      </c>
      <c r="I17" s="76">
        <v>328</v>
      </c>
      <c r="J17" s="76">
        <v>4763</v>
      </c>
      <c r="K17" s="35">
        <f t="shared" si="0"/>
        <v>7.5238974420472657E-2</v>
      </c>
    </row>
    <row r="18" spans="1:11" s="10" customFormat="1" ht="31.5">
      <c r="A18" s="46">
        <v>16</v>
      </c>
      <c r="B18" s="9" t="s">
        <v>20</v>
      </c>
      <c r="C18" s="77">
        <v>171</v>
      </c>
      <c r="D18" s="77">
        <v>74100</v>
      </c>
      <c r="E18" s="77">
        <v>13</v>
      </c>
      <c r="F18" s="76">
        <v>36800</v>
      </c>
      <c r="G18" s="76">
        <v>3</v>
      </c>
      <c r="H18" s="76">
        <v>538</v>
      </c>
      <c r="I18" s="76">
        <v>312</v>
      </c>
      <c r="J18" s="76">
        <v>4763</v>
      </c>
      <c r="K18" s="35">
        <f t="shared" si="0"/>
        <v>7.3742095220907189E-2</v>
      </c>
    </row>
    <row r="19" spans="1:11" s="10" customFormat="1" ht="15.75">
      <c r="A19" s="43">
        <v>17</v>
      </c>
      <c r="B19" s="9" t="s">
        <v>11</v>
      </c>
      <c r="C19" s="77">
        <v>130</v>
      </c>
      <c r="D19" s="77">
        <v>74100</v>
      </c>
      <c r="E19" s="77">
        <v>36</v>
      </c>
      <c r="F19" s="76">
        <v>36800</v>
      </c>
      <c r="G19" s="76">
        <v>7</v>
      </c>
      <c r="H19" s="76">
        <v>538</v>
      </c>
      <c r="I19" s="76">
        <v>275</v>
      </c>
      <c r="J19" s="76">
        <v>4763</v>
      </c>
      <c r="K19" s="35">
        <f t="shared" si="0"/>
        <v>7.3480519805106892E-2</v>
      </c>
    </row>
    <row r="20" spans="1:11" s="10" customFormat="1" ht="15.75">
      <c r="A20" s="46">
        <v>18</v>
      </c>
      <c r="B20" s="3" t="s">
        <v>26</v>
      </c>
      <c r="C20" s="77">
        <v>212</v>
      </c>
      <c r="D20" s="77">
        <v>74100</v>
      </c>
      <c r="E20" s="77">
        <v>53</v>
      </c>
      <c r="F20" s="76">
        <v>36800</v>
      </c>
      <c r="G20" s="76">
        <v>6</v>
      </c>
      <c r="H20" s="76">
        <v>538</v>
      </c>
      <c r="I20" s="76">
        <v>245</v>
      </c>
      <c r="J20" s="76">
        <v>4763</v>
      </c>
      <c r="K20" s="35">
        <f t="shared" si="0"/>
        <v>6.6891801619733154E-2</v>
      </c>
    </row>
    <row r="21" spans="1:11" s="10" customFormat="1" ht="15.75">
      <c r="A21" s="43">
        <v>19</v>
      </c>
      <c r="B21" s="9" t="s">
        <v>28</v>
      </c>
      <c r="C21" s="77">
        <v>0</v>
      </c>
      <c r="D21" s="77">
        <v>74100</v>
      </c>
      <c r="E21" s="77">
        <v>0</v>
      </c>
      <c r="F21" s="76">
        <v>36800</v>
      </c>
      <c r="G21" s="76">
        <v>0</v>
      </c>
      <c r="H21" s="76">
        <v>538</v>
      </c>
      <c r="I21" s="76">
        <v>298</v>
      </c>
      <c r="J21" s="76">
        <v>4763</v>
      </c>
      <c r="K21" s="35">
        <f t="shared" si="0"/>
        <v>6.2565609909720765E-2</v>
      </c>
    </row>
    <row r="22" spans="1:11" s="10" customFormat="1" ht="15.75">
      <c r="A22" s="46">
        <v>20</v>
      </c>
      <c r="B22" s="9" t="s">
        <v>8</v>
      </c>
      <c r="C22" s="77">
        <v>313</v>
      </c>
      <c r="D22" s="77">
        <v>74100</v>
      </c>
      <c r="E22" s="77">
        <v>44</v>
      </c>
      <c r="F22" s="76">
        <v>36800</v>
      </c>
      <c r="G22" s="76">
        <v>7</v>
      </c>
      <c r="H22" s="76">
        <v>538</v>
      </c>
      <c r="I22" s="76">
        <v>210</v>
      </c>
      <c r="J22" s="76">
        <v>4763</v>
      </c>
      <c r="K22" s="35">
        <f t="shared" si="0"/>
        <v>6.2520685515066121E-2</v>
      </c>
    </row>
    <row r="23" spans="1:11" s="10" customFormat="1" ht="15.75">
      <c r="A23" s="43">
        <v>21</v>
      </c>
      <c r="B23" s="9" t="s">
        <v>16</v>
      </c>
      <c r="C23" s="89">
        <v>175</v>
      </c>
      <c r="D23" s="77">
        <v>74100</v>
      </c>
      <c r="E23" s="77">
        <v>20</v>
      </c>
      <c r="F23" s="76">
        <v>36800</v>
      </c>
      <c r="G23" s="76">
        <v>3</v>
      </c>
      <c r="H23" s="76">
        <v>538</v>
      </c>
      <c r="I23" s="76">
        <v>224</v>
      </c>
      <c r="J23" s="76">
        <v>4763</v>
      </c>
      <c r="K23" s="35">
        <f t="shared" si="0"/>
        <v>5.5510543141457008E-2</v>
      </c>
    </row>
    <row r="24" spans="1:11" s="10" customFormat="1" ht="15.75">
      <c r="A24" s="46">
        <v>22</v>
      </c>
      <c r="B24" s="9" t="s">
        <v>14</v>
      </c>
      <c r="C24" s="77">
        <v>47</v>
      </c>
      <c r="D24" s="77">
        <v>74100</v>
      </c>
      <c r="E24" s="77">
        <v>16</v>
      </c>
      <c r="F24" s="76">
        <v>36800</v>
      </c>
      <c r="G24" s="76">
        <v>4</v>
      </c>
      <c r="H24" s="76">
        <v>538</v>
      </c>
      <c r="I24" s="76">
        <v>197</v>
      </c>
      <c r="J24" s="76">
        <v>4763</v>
      </c>
      <c r="K24" s="35">
        <f t="shared" si="0"/>
        <v>4.9864491937282686E-2</v>
      </c>
    </row>
    <row r="25" spans="1:11" s="10" customFormat="1" ht="15.75">
      <c r="A25" s="43">
        <v>23</v>
      </c>
      <c r="B25" s="9" t="s">
        <v>133</v>
      </c>
      <c r="C25" s="77">
        <v>50</v>
      </c>
      <c r="D25" s="77">
        <v>74100</v>
      </c>
      <c r="E25" s="77">
        <v>0</v>
      </c>
      <c r="F25" s="76">
        <v>36800</v>
      </c>
      <c r="G25" s="76">
        <v>0</v>
      </c>
      <c r="H25" s="76">
        <v>538</v>
      </c>
      <c r="I25" s="76">
        <v>233</v>
      </c>
      <c r="J25" s="76">
        <v>4763</v>
      </c>
      <c r="K25" s="35">
        <f t="shared" si="0"/>
        <v>4.9593512520460376E-2</v>
      </c>
    </row>
    <row r="26" spans="1:11" s="10" customFormat="1" ht="15.75">
      <c r="A26" s="46">
        <v>24</v>
      </c>
      <c r="B26" s="9" t="s">
        <v>15</v>
      </c>
      <c r="C26" s="84">
        <v>79</v>
      </c>
      <c r="D26" s="77">
        <v>74100</v>
      </c>
      <c r="E26" s="84">
        <v>11</v>
      </c>
      <c r="F26" s="76">
        <v>36800</v>
      </c>
      <c r="G26" s="84">
        <v>3</v>
      </c>
      <c r="H26" s="76">
        <v>538</v>
      </c>
      <c r="I26" s="84">
        <v>196</v>
      </c>
      <c r="J26" s="76">
        <v>4763</v>
      </c>
      <c r="K26" s="35">
        <f t="shared" si="0"/>
        <v>4.8091783454380782E-2</v>
      </c>
    </row>
    <row r="27" spans="1:11" s="10" customFormat="1" ht="31.5">
      <c r="A27" s="43">
        <v>25</v>
      </c>
      <c r="B27" s="9" t="s">
        <v>24</v>
      </c>
      <c r="C27" s="121">
        <v>76</v>
      </c>
      <c r="D27" s="77">
        <v>74100</v>
      </c>
      <c r="E27" s="25">
        <v>40</v>
      </c>
      <c r="F27" s="76">
        <v>36800</v>
      </c>
      <c r="G27" s="28">
        <v>13</v>
      </c>
      <c r="H27" s="76">
        <v>538</v>
      </c>
      <c r="I27" s="28">
        <v>100</v>
      </c>
      <c r="J27" s="76">
        <v>4763</v>
      </c>
      <c r="K27" s="23">
        <f t="shared" si="0"/>
        <v>4.7271337431258914E-2</v>
      </c>
    </row>
    <row r="28" spans="1:11" s="10" customFormat="1" ht="18" customHeight="1">
      <c r="A28" s="46">
        <v>26</v>
      </c>
      <c r="B28" s="9" t="s">
        <v>31</v>
      </c>
      <c r="C28" s="77">
        <v>328</v>
      </c>
      <c r="D28" s="77">
        <v>74100</v>
      </c>
      <c r="E28" s="77">
        <v>21</v>
      </c>
      <c r="F28" s="76">
        <v>36800</v>
      </c>
      <c r="G28" s="76">
        <v>5</v>
      </c>
      <c r="H28" s="76">
        <v>538</v>
      </c>
      <c r="I28" s="76">
        <v>151</v>
      </c>
      <c r="J28" s="76">
        <v>4763</v>
      </c>
      <c r="K28" s="35">
        <f t="shared" si="0"/>
        <v>4.5993491590624297E-2</v>
      </c>
    </row>
    <row r="29" spans="1:11" s="10" customFormat="1" ht="15.75">
      <c r="A29" s="43">
        <v>27</v>
      </c>
      <c r="B29" s="9" t="s">
        <v>9</v>
      </c>
      <c r="C29" s="77">
        <v>63</v>
      </c>
      <c r="D29" s="77">
        <v>74100</v>
      </c>
      <c r="E29" s="77">
        <v>14</v>
      </c>
      <c r="F29" s="76">
        <v>36800</v>
      </c>
      <c r="G29" s="76">
        <v>4</v>
      </c>
      <c r="H29" s="76">
        <v>538</v>
      </c>
      <c r="I29" s="76">
        <v>172</v>
      </c>
      <c r="J29" s="76">
        <v>4763</v>
      </c>
      <c r="K29" s="35">
        <f t="shared" si="0"/>
        <v>4.477727575998533E-2</v>
      </c>
    </row>
    <row r="30" spans="1:11" s="10" customFormat="1" ht="31.5">
      <c r="A30" s="46">
        <v>28</v>
      </c>
      <c r="B30" s="9" t="s">
        <v>23</v>
      </c>
      <c r="C30" s="84">
        <v>0</v>
      </c>
      <c r="D30" s="77">
        <v>74100</v>
      </c>
      <c r="E30" s="84">
        <v>12</v>
      </c>
      <c r="F30" s="76">
        <v>36800</v>
      </c>
      <c r="G30" s="84">
        <v>2</v>
      </c>
      <c r="H30" s="76">
        <v>538</v>
      </c>
      <c r="I30" s="84">
        <v>176</v>
      </c>
      <c r="J30" s="76">
        <v>4763</v>
      </c>
      <c r="K30" s="35">
        <f t="shared" si="0"/>
        <v>4.0995060230215256E-2</v>
      </c>
    </row>
    <row r="31" spans="1:11" s="10" customFormat="1" ht="20.25" customHeight="1">
      <c r="A31" s="43">
        <v>29</v>
      </c>
      <c r="B31" s="9" t="s">
        <v>27</v>
      </c>
      <c r="C31" s="77">
        <v>179</v>
      </c>
      <c r="D31" s="77">
        <v>74100</v>
      </c>
      <c r="E31" s="77">
        <v>18</v>
      </c>
      <c r="F31" s="76">
        <v>36800</v>
      </c>
      <c r="G31" s="76">
        <v>5</v>
      </c>
      <c r="H31" s="76">
        <v>538</v>
      </c>
      <c r="I31" s="76">
        <v>116</v>
      </c>
      <c r="J31" s="76">
        <v>4763</v>
      </c>
      <c r="K31" s="35">
        <f t="shared" si="0"/>
        <v>3.6552863741445743E-2</v>
      </c>
    </row>
    <row r="32" spans="1:11" s="10" customFormat="1" ht="31.5">
      <c r="A32" s="46">
        <v>30</v>
      </c>
      <c r="B32" s="9" t="s">
        <v>7</v>
      </c>
      <c r="C32" s="89">
        <v>57</v>
      </c>
      <c r="D32" s="77">
        <v>74100</v>
      </c>
      <c r="E32" s="77">
        <v>17</v>
      </c>
      <c r="F32" s="76">
        <v>36800</v>
      </c>
      <c r="G32" s="76">
        <v>4</v>
      </c>
      <c r="H32" s="76">
        <v>538</v>
      </c>
      <c r="I32" s="76">
        <v>64</v>
      </c>
      <c r="J32" s="76">
        <v>4763</v>
      </c>
      <c r="K32" s="35">
        <f t="shared" si="0"/>
        <v>2.2103041039700629E-2</v>
      </c>
    </row>
    <row r="33" spans="1:11" s="10" customFormat="1" ht="15.75">
      <c r="A33" s="43">
        <v>31</v>
      </c>
      <c r="B33" s="9" t="s">
        <v>32</v>
      </c>
      <c r="C33" s="77">
        <v>82</v>
      </c>
      <c r="D33" s="77">
        <v>74100</v>
      </c>
      <c r="E33" s="77">
        <v>0</v>
      </c>
      <c r="F33" s="76">
        <v>36800</v>
      </c>
      <c r="G33" s="76">
        <v>0</v>
      </c>
      <c r="H33" s="76">
        <v>538</v>
      </c>
      <c r="I33" s="76">
        <v>0</v>
      </c>
      <c r="J33" s="76">
        <v>4763</v>
      </c>
      <c r="K33" s="35">
        <f t="shared" si="0"/>
        <v>1.1066126855600539E-3</v>
      </c>
    </row>
    <row r="34" spans="1:11" s="10" customFormat="1" ht="15.75">
      <c r="A34" s="91"/>
      <c r="B34" s="92"/>
      <c r="C34" s="93"/>
      <c r="D34" s="94"/>
      <c r="E34" s="93"/>
      <c r="F34" s="95"/>
      <c r="G34" s="93"/>
      <c r="H34" s="95"/>
      <c r="I34" s="93"/>
      <c r="J34" s="95"/>
      <c r="K34" s="96"/>
    </row>
    <row r="35" spans="1:11" ht="60.75">
      <c r="A35" s="37"/>
      <c r="B35" s="72" t="s">
        <v>123</v>
      </c>
      <c r="C35" s="42"/>
      <c r="D35" s="42"/>
      <c r="E35" s="42"/>
      <c r="F35" s="39"/>
      <c r="G35" s="37"/>
      <c r="H35" s="37"/>
      <c r="I35" s="37"/>
      <c r="J35" s="37"/>
      <c r="K35" s="37"/>
    </row>
    <row r="36" spans="1:11" ht="135.75" customHeight="1">
      <c r="A36" s="43" t="s">
        <v>99</v>
      </c>
      <c r="B36" s="57" t="s">
        <v>41</v>
      </c>
      <c r="C36" s="57" t="s">
        <v>50</v>
      </c>
      <c r="D36" s="57" t="s">
        <v>51</v>
      </c>
      <c r="E36" s="57" t="s">
        <v>52</v>
      </c>
      <c r="F36" s="57" t="s">
        <v>54</v>
      </c>
      <c r="G36" s="57" t="s">
        <v>53</v>
      </c>
      <c r="H36" s="57" t="s">
        <v>55</v>
      </c>
      <c r="I36" s="57" t="s">
        <v>102</v>
      </c>
      <c r="J36" s="57" t="s">
        <v>103</v>
      </c>
      <c r="K36" s="57" t="s">
        <v>158</v>
      </c>
    </row>
    <row r="37" spans="1:11" ht="31.5">
      <c r="A37" s="43">
        <v>1</v>
      </c>
      <c r="B37" s="3" t="s">
        <v>36</v>
      </c>
      <c r="C37" s="25">
        <v>60</v>
      </c>
      <c r="D37" s="25">
        <v>74100</v>
      </c>
      <c r="E37" s="25">
        <v>85</v>
      </c>
      <c r="F37" s="28">
        <v>36800</v>
      </c>
      <c r="G37" s="22">
        <v>13</v>
      </c>
      <c r="H37" s="28">
        <v>538</v>
      </c>
      <c r="I37" s="22">
        <v>364</v>
      </c>
      <c r="J37" s="22">
        <v>4763</v>
      </c>
      <c r="K37" s="23">
        <f>C37/D37+E37/F37+G37/H37+I37/J37</f>
        <v>0.10370549082386631</v>
      </c>
    </row>
    <row r="38" spans="1:11" ht="15.75">
      <c r="A38" s="43">
        <v>2</v>
      </c>
      <c r="B38" s="3" t="s">
        <v>34</v>
      </c>
      <c r="C38" s="25">
        <v>1</v>
      </c>
      <c r="D38" s="25">
        <v>74100</v>
      </c>
      <c r="E38" s="25">
        <v>0</v>
      </c>
      <c r="F38" s="28">
        <v>36800</v>
      </c>
      <c r="G38" s="22">
        <v>0</v>
      </c>
      <c r="H38" s="28">
        <v>538</v>
      </c>
      <c r="I38" s="22">
        <v>217</v>
      </c>
      <c r="J38" s="22">
        <v>4763</v>
      </c>
      <c r="K38" s="23">
        <f>C38/D38+E38/F38+G38/H38+I38/J38</f>
        <v>4.5573016586751849E-2</v>
      </c>
    </row>
    <row r="39" spans="1:11" ht="15.75">
      <c r="A39" s="43">
        <v>3</v>
      </c>
      <c r="B39" s="3" t="s">
        <v>33</v>
      </c>
      <c r="C39" s="25">
        <v>40</v>
      </c>
      <c r="D39" s="25">
        <v>74100</v>
      </c>
      <c r="E39" s="25">
        <v>10</v>
      </c>
      <c r="F39" s="28">
        <v>36800</v>
      </c>
      <c r="G39" s="22">
        <v>3</v>
      </c>
      <c r="H39" s="28">
        <v>538</v>
      </c>
      <c r="I39" s="22">
        <v>220</v>
      </c>
      <c r="J39" s="22">
        <v>4763</v>
      </c>
      <c r="K39" s="23">
        <f>C39/D39+E39/F39+G39/H39+I39/J39</f>
        <v>5.2577134818418317E-2</v>
      </c>
    </row>
    <row r="40" spans="1:11" ht="31.5">
      <c r="A40" s="43">
        <v>4</v>
      </c>
      <c r="B40" s="3" t="s">
        <v>35</v>
      </c>
      <c r="C40" s="25">
        <v>7</v>
      </c>
      <c r="D40" s="25">
        <v>74100</v>
      </c>
      <c r="E40" s="25">
        <v>0</v>
      </c>
      <c r="F40" s="28">
        <v>36800</v>
      </c>
      <c r="G40" s="22">
        <v>0</v>
      </c>
      <c r="H40" s="28">
        <v>538</v>
      </c>
      <c r="I40" s="22">
        <v>146</v>
      </c>
      <c r="J40" s="22">
        <v>4763</v>
      </c>
      <c r="K40" s="23">
        <f>C40/D40+E40/F40+G40/H40+I40/J40</f>
        <v>3.0747416758113245E-2</v>
      </c>
    </row>
    <row r="41" spans="1:11">
      <c r="B41" s="7"/>
      <c r="C41" s="7"/>
      <c r="D41" s="7"/>
      <c r="E41" s="7"/>
      <c r="F41" s="7"/>
    </row>
    <row r="42" spans="1:11" ht="18.75">
      <c r="C42" s="48"/>
      <c r="D42" s="7"/>
      <c r="E42" s="7"/>
      <c r="F42" s="7"/>
    </row>
    <row r="43" spans="1:11" ht="18.75">
      <c r="B43" s="7"/>
      <c r="C43" s="49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7"/>
      <c r="C45" s="7"/>
      <c r="D45" s="7"/>
      <c r="E45" s="7"/>
      <c r="F45" s="7"/>
    </row>
    <row r="46" spans="1:11">
      <c r="B46" s="7"/>
      <c r="C46" s="7"/>
      <c r="D46" s="7"/>
      <c r="E46" s="7"/>
      <c r="F46" s="7"/>
    </row>
    <row r="47" spans="1:11">
      <c r="B47" s="7"/>
      <c r="C47" s="7"/>
      <c r="D47" s="7"/>
      <c r="E47" s="7"/>
      <c r="F47" s="7"/>
    </row>
    <row r="48" spans="1:11">
      <c r="B48" s="7"/>
      <c r="C48" s="7"/>
      <c r="D48" s="7"/>
      <c r="E48" s="7"/>
      <c r="F48" s="7"/>
    </row>
    <row r="49" spans="2:6">
      <c r="B49" s="7"/>
      <c r="C49" s="7"/>
      <c r="D49" s="7"/>
      <c r="E49" s="7"/>
      <c r="F49" s="7"/>
    </row>
    <row r="50" spans="2:6">
      <c r="B50" s="7"/>
      <c r="C50" s="7"/>
      <c r="D50" s="7"/>
      <c r="E50" s="7"/>
      <c r="F50" s="7"/>
    </row>
    <row r="51" spans="2:6">
      <c r="B51" s="7"/>
      <c r="C51" s="7"/>
      <c r="D51" s="7"/>
      <c r="E51" s="7"/>
      <c r="F51" s="7"/>
    </row>
    <row r="52" spans="2:6">
      <c r="B52" s="7"/>
      <c r="C52" s="7"/>
      <c r="D52" s="7"/>
      <c r="E52" s="7"/>
      <c r="F52" s="7"/>
    </row>
    <row r="53" spans="2:6">
      <c r="B53" s="7"/>
      <c r="C53" s="7"/>
      <c r="D53" s="7"/>
      <c r="E53" s="7"/>
      <c r="F53" s="7"/>
    </row>
    <row r="54" spans="2:6">
      <c r="B54" s="7"/>
      <c r="C54" s="7"/>
      <c r="D54" s="7"/>
      <c r="E54" s="7"/>
      <c r="F54" s="7"/>
    </row>
    <row r="55" spans="2:6">
      <c r="B55" s="7"/>
      <c r="C55" s="7"/>
      <c r="D55" s="7"/>
      <c r="E55" s="7"/>
      <c r="F55" s="7"/>
    </row>
    <row r="56" spans="2:6">
      <c r="B56" s="7"/>
      <c r="C56" s="7"/>
      <c r="D56" s="7"/>
      <c r="E56" s="7"/>
      <c r="F56" s="7"/>
    </row>
    <row r="57" spans="2:6">
      <c r="B57" s="7"/>
      <c r="C57" s="7"/>
      <c r="D57" s="7"/>
      <c r="E57" s="7"/>
      <c r="F57" s="7"/>
    </row>
    <row r="58" spans="2:6">
      <c r="B58" s="7"/>
      <c r="C58" s="7"/>
      <c r="D58" s="7"/>
      <c r="E58" s="7"/>
      <c r="F58" s="7"/>
    </row>
    <row r="59" spans="2:6">
      <c r="B59" s="7"/>
      <c r="C59" s="7"/>
      <c r="D59" s="7"/>
      <c r="E59" s="7"/>
      <c r="F59" s="7"/>
    </row>
    <row r="60" spans="2:6">
      <c r="B60" s="7"/>
      <c r="C60" s="7"/>
      <c r="D60" s="7"/>
      <c r="E60" s="7"/>
      <c r="F60" s="7"/>
    </row>
    <row r="61" spans="2:6">
      <c r="B61" s="7"/>
      <c r="C61" s="7"/>
      <c r="D61" s="7"/>
      <c r="E61" s="7"/>
      <c r="F61" s="7"/>
    </row>
    <row r="62" spans="2:6">
      <c r="B62" s="7"/>
      <c r="C62" s="7"/>
      <c r="D62" s="7"/>
      <c r="E62" s="7"/>
      <c r="F62" s="7"/>
    </row>
    <row r="63" spans="2:6">
      <c r="B63" s="7"/>
      <c r="C63" s="7"/>
      <c r="D63" s="7"/>
      <c r="E63" s="7"/>
      <c r="F63" s="7"/>
    </row>
    <row r="64" spans="2:6">
      <c r="B64" s="7"/>
      <c r="C64" s="7"/>
      <c r="D64" s="7"/>
      <c r="E64" s="7"/>
      <c r="F64" s="7"/>
    </row>
    <row r="65" spans="2:6">
      <c r="B65" s="7"/>
      <c r="C65" s="7"/>
      <c r="D65" s="7"/>
      <c r="E65" s="7"/>
      <c r="F65" s="7"/>
    </row>
    <row r="66" spans="2:6">
      <c r="B66" s="7"/>
      <c r="C66" s="7"/>
      <c r="D66" s="7"/>
      <c r="E66" s="7"/>
      <c r="F66" s="7"/>
    </row>
    <row r="67" spans="2:6">
      <c r="B67" s="7"/>
      <c r="C67" s="7"/>
      <c r="D67" s="7"/>
      <c r="E67" s="7"/>
      <c r="F67" s="7"/>
    </row>
    <row r="68" spans="2:6">
      <c r="B68" s="7"/>
      <c r="C68" s="7"/>
      <c r="D68" s="7"/>
      <c r="E68" s="7"/>
      <c r="F68" s="7"/>
    </row>
    <row r="69" spans="2:6">
      <c r="B69" s="7"/>
      <c r="C69" s="7"/>
      <c r="D69" s="7"/>
      <c r="E69" s="7"/>
      <c r="F69" s="7"/>
    </row>
    <row r="70" spans="2:6">
      <c r="B70" s="7"/>
      <c r="C70" s="7"/>
      <c r="D70" s="7"/>
      <c r="E70" s="7"/>
      <c r="F70" s="7"/>
    </row>
    <row r="71" spans="2:6">
      <c r="B71" s="7"/>
      <c r="C71" s="7"/>
      <c r="D71" s="7"/>
      <c r="E71" s="7"/>
      <c r="F71" s="7"/>
    </row>
    <row r="72" spans="2:6">
      <c r="B72" s="7"/>
      <c r="C72" s="7"/>
      <c r="D72" s="7"/>
      <c r="E72" s="7"/>
      <c r="F72" s="7"/>
    </row>
    <row r="73" spans="2:6">
      <c r="B73" s="7"/>
      <c r="C73" s="7"/>
      <c r="D73" s="7"/>
      <c r="E73" s="7"/>
      <c r="F73" s="7"/>
    </row>
    <row r="74" spans="2:6">
      <c r="B74" s="7"/>
      <c r="C74" s="7"/>
      <c r="D74" s="7"/>
      <c r="E74" s="7"/>
      <c r="F74" s="7"/>
    </row>
    <row r="75" spans="2:6">
      <c r="B75" s="7"/>
      <c r="C75" s="7"/>
      <c r="D75" s="7"/>
      <c r="E75" s="7"/>
      <c r="F75" s="7"/>
    </row>
    <row r="76" spans="2:6">
      <c r="B76" s="7"/>
      <c r="C76" s="7"/>
      <c r="D76" s="7"/>
      <c r="E76" s="7"/>
      <c r="F76" s="7"/>
    </row>
    <row r="77" spans="2:6">
      <c r="B77" s="7"/>
      <c r="C77" s="7"/>
      <c r="D77" s="7"/>
      <c r="E77" s="7"/>
      <c r="F77" s="7"/>
    </row>
    <row r="78" spans="2:6">
      <c r="B78" s="7"/>
      <c r="C78" s="7"/>
      <c r="D78" s="7"/>
      <c r="E78" s="7"/>
      <c r="F78" s="7"/>
    </row>
    <row r="79" spans="2:6">
      <c r="B79" s="7"/>
      <c r="C79" s="7"/>
      <c r="D79" s="7"/>
      <c r="E79" s="7"/>
      <c r="F79" s="7"/>
    </row>
    <row r="80" spans="2:6">
      <c r="B80" s="7"/>
      <c r="C80" s="7"/>
      <c r="D80" s="7"/>
      <c r="E80" s="7"/>
      <c r="F80" s="7"/>
    </row>
    <row r="81" spans="2:6">
      <c r="B81" s="7"/>
      <c r="C81" s="7"/>
      <c r="D81" s="7"/>
      <c r="E81" s="7"/>
      <c r="F81" s="7"/>
    </row>
    <row r="82" spans="2:6">
      <c r="B82" s="7"/>
      <c r="C82" s="7"/>
      <c r="D82" s="7"/>
      <c r="E82" s="7"/>
      <c r="F82" s="7"/>
    </row>
    <row r="83" spans="2:6">
      <c r="B83" s="7"/>
      <c r="C83" s="7"/>
      <c r="D83" s="7"/>
      <c r="E83" s="7"/>
      <c r="F83" s="7"/>
    </row>
    <row r="84" spans="2:6">
      <c r="B84" s="7"/>
      <c r="C84" s="7"/>
      <c r="D84" s="7"/>
      <c r="E84" s="7"/>
      <c r="F84" s="7"/>
    </row>
    <row r="85" spans="2:6">
      <c r="B85" s="7"/>
      <c r="C85" s="7"/>
      <c r="D85" s="7"/>
      <c r="E85" s="7"/>
      <c r="F85" s="7"/>
    </row>
    <row r="86" spans="2:6">
      <c r="B86" s="7"/>
      <c r="C86" s="7"/>
      <c r="D86" s="7"/>
      <c r="E86" s="7"/>
      <c r="F86" s="7"/>
    </row>
    <row r="87" spans="2:6">
      <c r="B87" s="7"/>
      <c r="C87" s="7"/>
      <c r="D87" s="7"/>
      <c r="E87" s="7"/>
      <c r="F87" s="7"/>
    </row>
    <row r="88" spans="2:6">
      <c r="B88" s="7"/>
      <c r="C88" s="7"/>
      <c r="D88" s="7"/>
      <c r="E88" s="7"/>
      <c r="F88" s="7"/>
    </row>
    <row r="89" spans="2:6">
      <c r="B89" s="7"/>
      <c r="C89" s="7"/>
      <c r="D89" s="7"/>
      <c r="E89" s="7"/>
      <c r="F89" s="7"/>
    </row>
    <row r="90" spans="2:6">
      <c r="B90" s="7"/>
      <c r="C90" s="7"/>
      <c r="D90" s="7"/>
      <c r="E90" s="7"/>
      <c r="F90" s="7"/>
    </row>
    <row r="91" spans="2:6">
      <c r="B91" s="7"/>
      <c r="C91" s="7"/>
      <c r="D91" s="7"/>
      <c r="E91" s="7"/>
      <c r="F91" s="7"/>
    </row>
    <row r="92" spans="2:6">
      <c r="B92" s="7"/>
      <c r="C92" s="7"/>
      <c r="D92" s="7"/>
      <c r="E92" s="7"/>
      <c r="F92" s="7"/>
    </row>
    <row r="93" spans="2:6">
      <c r="B93" s="7"/>
      <c r="C93" s="7"/>
      <c r="D93" s="7"/>
      <c r="E93" s="7"/>
      <c r="F93" s="7"/>
    </row>
    <row r="94" spans="2:6">
      <c r="B94" s="7"/>
      <c r="C94" s="7"/>
      <c r="D94" s="7"/>
      <c r="E94" s="7"/>
      <c r="F94" s="7"/>
    </row>
    <row r="95" spans="2:6">
      <c r="B95" s="7"/>
      <c r="C95" s="7"/>
      <c r="D95" s="7"/>
      <c r="E95" s="7"/>
      <c r="F95" s="7"/>
    </row>
    <row r="96" spans="2:6">
      <c r="B96" s="7"/>
      <c r="C96" s="7"/>
      <c r="D96" s="7"/>
      <c r="E96" s="7"/>
      <c r="F96" s="7"/>
    </row>
    <row r="97" spans="2:6">
      <c r="B97" s="7"/>
      <c r="C97" s="7"/>
      <c r="D97" s="7"/>
      <c r="E97" s="7"/>
      <c r="F97" s="7"/>
    </row>
    <row r="98" spans="2:6">
      <c r="B98" s="7"/>
      <c r="C98" s="7"/>
      <c r="D98" s="7"/>
      <c r="E98" s="7"/>
      <c r="F98" s="7"/>
    </row>
    <row r="99" spans="2:6">
      <c r="B99" s="7"/>
      <c r="C99" s="7"/>
      <c r="D99" s="7"/>
      <c r="E99" s="7"/>
      <c r="F99" s="7"/>
    </row>
    <row r="100" spans="2:6">
      <c r="B100" s="7"/>
      <c r="C100" s="7"/>
      <c r="D100" s="7"/>
      <c r="E100" s="7"/>
      <c r="F100" s="7"/>
    </row>
    <row r="101" spans="2:6">
      <c r="B101" s="7"/>
      <c r="C101" s="7"/>
      <c r="D101" s="7"/>
      <c r="E101" s="7"/>
      <c r="F101" s="7"/>
    </row>
    <row r="102" spans="2:6">
      <c r="B102" s="7"/>
      <c r="C102" s="7"/>
      <c r="D102" s="7"/>
      <c r="E102" s="7"/>
      <c r="F102" s="7"/>
    </row>
    <row r="103" spans="2:6">
      <c r="B103" s="7"/>
      <c r="C103" s="7"/>
      <c r="D103" s="7"/>
      <c r="E103" s="7"/>
      <c r="F103" s="7"/>
    </row>
    <row r="104" spans="2:6">
      <c r="B104" s="7"/>
      <c r="C104" s="7"/>
      <c r="D104" s="7"/>
      <c r="E104" s="7"/>
      <c r="F104" s="7"/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/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/>
    </row>
    <row r="109" spans="2:6">
      <c r="B109" s="7"/>
      <c r="C109" s="7"/>
      <c r="D109" s="7"/>
      <c r="E109" s="7"/>
      <c r="F109" s="7"/>
    </row>
    <row r="110" spans="2:6">
      <c r="B110" s="7"/>
      <c r="C110" s="7"/>
      <c r="D110" s="7"/>
      <c r="E110" s="7"/>
      <c r="F110" s="7"/>
    </row>
    <row r="111" spans="2:6">
      <c r="B111" s="7"/>
      <c r="C111" s="7"/>
      <c r="D111" s="7"/>
      <c r="E111" s="7"/>
      <c r="F111" s="7"/>
    </row>
    <row r="112" spans="2:6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  <c r="C118" s="7"/>
      <c r="D118" s="7"/>
      <c r="E118" s="7"/>
      <c r="F118" s="7"/>
    </row>
    <row r="119" spans="2:6">
      <c r="B119" s="7"/>
      <c r="C119" s="7"/>
      <c r="D119" s="7"/>
      <c r="E119" s="7"/>
      <c r="F119" s="7"/>
    </row>
    <row r="120" spans="2:6">
      <c r="B120" s="7"/>
      <c r="C120" s="7"/>
      <c r="D120" s="7"/>
      <c r="E120" s="7"/>
      <c r="F120" s="7"/>
    </row>
    <row r="121" spans="2:6">
      <c r="B121" s="7"/>
      <c r="C121" s="7"/>
      <c r="D121" s="7"/>
      <c r="E121" s="7"/>
      <c r="F121" s="7"/>
    </row>
    <row r="122" spans="2:6">
      <c r="B122" s="7"/>
      <c r="C122" s="7"/>
      <c r="D122" s="7"/>
      <c r="E122" s="7"/>
      <c r="F122" s="7"/>
    </row>
    <row r="123" spans="2:6">
      <c r="B123" s="7"/>
      <c r="C123" s="7"/>
      <c r="D123" s="7"/>
      <c r="E123" s="7"/>
      <c r="F123" s="7"/>
    </row>
    <row r="124" spans="2:6">
      <c r="B124" s="7"/>
      <c r="C124" s="7"/>
      <c r="D124" s="7"/>
      <c r="E124" s="7"/>
      <c r="F124" s="7"/>
    </row>
    <row r="125" spans="2:6">
      <c r="B125" s="7"/>
      <c r="C125" s="7"/>
      <c r="D125" s="7"/>
      <c r="E125" s="7"/>
      <c r="F125" s="7"/>
    </row>
    <row r="126" spans="2:6">
      <c r="B126" s="7"/>
      <c r="C126" s="7"/>
      <c r="D126" s="7"/>
      <c r="E126" s="7"/>
      <c r="F126" s="7"/>
    </row>
    <row r="127" spans="2:6">
      <c r="B127" s="7"/>
      <c r="C127" s="7"/>
      <c r="D127" s="7"/>
      <c r="E127" s="7"/>
      <c r="F127" s="7"/>
    </row>
    <row r="128" spans="2:6">
      <c r="B128" s="7"/>
      <c r="C128" s="7"/>
      <c r="D128" s="7"/>
      <c r="E128" s="7"/>
      <c r="F128" s="7"/>
    </row>
    <row r="129" spans="2:6">
      <c r="B129" s="7"/>
      <c r="C129" s="7"/>
      <c r="D129" s="7"/>
      <c r="E129" s="7"/>
      <c r="F129" s="7"/>
    </row>
    <row r="130" spans="2:6">
      <c r="B130" s="7"/>
      <c r="C130" s="7"/>
      <c r="D130" s="7"/>
      <c r="E130" s="7"/>
      <c r="F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</sheetData>
  <sortState ref="B3:K33">
    <sortCondition descending="1" ref="K3:K33"/>
  </sortState>
  <mergeCells count="1">
    <mergeCell ref="B1:C1"/>
  </mergeCells>
  <phoneticPr fontId="5" type="noConversion"/>
  <pageMargins left="0.33" right="0.28000000000000003" top="0.48" bottom="0.41" header="0.21" footer="0.25"/>
  <pageSetup paperSize="9" scale="65" orientation="landscape" verticalDpi="200" r:id="rId1"/>
  <headerFooter alignWithMargins="0"/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="80" zoomScaleNormal="80" workbookViewId="0">
      <selection activeCell="B3" sqref="B3:G6"/>
    </sheetView>
  </sheetViews>
  <sheetFormatPr defaultRowHeight="12.75"/>
  <cols>
    <col min="1" max="1" width="6.7109375" bestFit="1" customWidth="1"/>
    <col min="2" max="2" width="54" customWidth="1"/>
    <col min="3" max="3" width="22.5703125" customWidth="1"/>
    <col min="4" max="4" width="22.42578125" customWidth="1"/>
    <col min="5" max="5" width="20.42578125" customWidth="1"/>
    <col min="6" max="6" width="18.5703125" customWidth="1"/>
    <col min="7" max="7" width="21.5703125" customWidth="1"/>
  </cols>
  <sheetData>
    <row r="1" spans="1:8" ht="51.75" customHeight="1">
      <c r="B1" s="171" t="s">
        <v>124</v>
      </c>
      <c r="C1" s="171"/>
      <c r="D1" s="37"/>
      <c r="E1" s="37"/>
      <c r="F1" s="37"/>
      <c r="G1" s="37"/>
      <c r="H1" s="10"/>
    </row>
    <row r="2" spans="1:8" ht="129.75" customHeight="1">
      <c r="A2" s="43" t="s">
        <v>144</v>
      </c>
      <c r="B2" s="56" t="s">
        <v>41</v>
      </c>
      <c r="C2" s="56" t="s">
        <v>43</v>
      </c>
      <c r="D2" s="56" t="s">
        <v>136</v>
      </c>
      <c r="E2" s="56" t="s">
        <v>44</v>
      </c>
      <c r="F2" s="56" t="s">
        <v>104</v>
      </c>
      <c r="G2" s="56" t="s">
        <v>146</v>
      </c>
    </row>
    <row r="3" spans="1:8" ht="15.75">
      <c r="A3" s="43">
        <v>1</v>
      </c>
      <c r="B3" s="3" t="s">
        <v>34</v>
      </c>
      <c r="C3" s="25">
        <v>18</v>
      </c>
      <c r="D3" s="25">
        <v>40</v>
      </c>
      <c r="E3" s="11">
        <v>5</v>
      </c>
      <c r="F3" s="25">
        <v>14</v>
      </c>
      <c r="G3" s="13">
        <f>C3/D3+E3/F3</f>
        <v>0.80714285714285716</v>
      </c>
    </row>
    <row r="4" spans="1:8" ht="33.75" customHeight="1">
      <c r="A4" s="43">
        <v>2</v>
      </c>
      <c r="B4" s="3" t="s">
        <v>35</v>
      </c>
      <c r="C4" s="11">
        <v>10</v>
      </c>
      <c r="D4" s="25">
        <v>40</v>
      </c>
      <c r="E4" s="11">
        <v>4</v>
      </c>
      <c r="F4" s="25">
        <v>14</v>
      </c>
      <c r="G4" s="13">
        <f>C4/D4+E4/F4</f>
        <v>0.5357142857142857</v>
      </c>
    </row>
    <row r="5" spans="1:8" ht="31.5" customHeight="1">
      <c r="A5" s="43">
        <v>3</v>
      </c>
      <c r="B5" s="3" t="s">
        <v>36</v>
      </c>
      <c r="C5" s="11">
        <v>10</v>
      </c>
      <c r="D5" s="25">
        <v>40</v>
      </c>
      <c r="E5" s="11">
        <v>4</v>
      </c>
      <c r="F5" s="25">
        <v>14</v>
      </c>
      <c r="G5" s="13">
        <f>C5/D5+E5/F5</f>
        <v>0.5357142857142857</v>
      </c>
    </row>
    <row r="6" spans="1:8" ht="15" customHeight="1">
      <c r="A6" s="43">
        <v>4</v>
      </c>
      <c r="B6" s="3" t="s">
        <v>33</v>
      </c>
      <c r="C6" s="25">
        <v>2</v>
      </c>
      <c r="D6" s="25">
        <v>40</v>
      </c>
      <c r="E6" s="11">
        <v>1</v>
      </c>
      <c r="F6" s="25">
        <v>14</v>
      </c>
      <c r="G6" s="13">
        <f>C6/D6+E6/F6</f>
        <v>0.12142857142857143</v>
      </c>
    </row>
    <row r="7" spans="1:8" ht="15.75">
      <c r="B7" s="50" t="s">
        <v>42</v>
      </c>
      <c r="C7" s="31">
        <f>SUM(C3:C6)</f>
        <v>40</v>
      </c>
      <c r="D7" s="31"/>
      <c r="E7" s="31">
        <f>SUM(E3:E6)</f>
        <v>14</v>
      </c>
      <c r="F7" s="16"/>
      <c r="G7" s="15"/>
    </row>
    <row r="8" spans="1:8">
      <c r="C8" s="14"/>
      <c r="D8" s="14"/>
    </row>
    <row r="9" spans="1:8" ht="15.75" customHeight="1">
      <c r="B9" s="6"/>
    </row>
  </sheetData>
  <sortState ref="B3:G6">
    <sortCondition descending="1" ref="G3:G6"/>
  </sortState>
  <mergeCells count="1">
    <mergeCell ref="B1:C1"/>
  </mergeCells>
  <phoneticPr fontId="5" type="noConversion"/>
  <pageMargins left="0.35" right="0.12" top="0.68" bottom="1" header="0.5" footer="0.5"/>
  <pageSetup scale="7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80" zoomScaleNormal="80" zoomScaleSheetLayoutView="75" workbookViewId="0">
      <selection sqref="A1:J1"/>
    </sheetView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5703125" customWidth="1"/>
    <col min="6" max="6" width="12.42578125" customWidth="1"/>
    <col min="7" max="7" width="18.140625" customWidth="1"/>
    <col min="8" max="8" width="13.140625" customWidth="1"/>
    <col min="9" max="9" width="13.42578125" customWidth="1"/>
    <col min="10" max="10" width="15.85546875" customWidth="1"/>
    <col min="11" max="11" width="14.140625" customWidth="1"/>
  </cols>
  <sheetData>
    <row r="1" spans="1:11" ht="20.25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148.5" customHeight="1">
      <c r="A2" s="111" t="s">
        <v>164</v>
      </c>
      <c r="B2" s="53" t="s">
        <v>0</v>
      </c>
      <c r="C2" s="101" t="s">
        <v>110</v>
      </c>
      <c r="D2" s="101" t="s">
        <v>111</v>
      </c>
      <c r="E2" s="101" t="s">
        <v>162</v>
      </c>
      <c r="F2" s="101" t="s">
        <v>152</v>
      </c>
      <c r="G2" s="101" t="s">
        <v>165</v>
      </c>
      <c r="H2" s="101" t="s">
        <v>163</v>
      </c>
      <c r="I2" s="101" t="s">
        <v>153</v>
      </c>
      <c r="J2" s="102" t="s">
        <v>98</v>
      </c>
      <c r="K2" s="52"/>
    </row>
    <row r="3" spans="1:11" ht="34.5" customHeight="1">
      <c r="A3" s="43">
        <v>1</v>
      </c>
      <c r="B3" s="1" t="s">
        <v>4</v>
      </c>
      <c r="C3" s="13">
        <v>1.28</v>
      </c>
      <c r="D3" s="23">
        <v>1.57</v>
      </c>
      <c r="E3" s="23">
        <v>1.18</v>
      </c>
      <c r="F3" s="23">
        <v>0.01</v>
      </c>
      <c r="G3" s="55">
        <v>5.4328898845111606E-2</v>
      </c>
      <c r="H3" s="23">
        <v>0.04</v>
      </c>
      <c r="I3" s="23">
        <v>0.09</v>
      </c>
      <c r="J3" s="55">
        <f t="shared" ref="J3:J33" si="0">0.2*C3+0.1*D3+0.2*E3+0.1*F3+0.1*(G3+H3)+0.05*I3</f>
        <v>0.66393288988451116</v>
      </c>
      <c r="K3" s="52"/>
    </row>
    <row r="4" spans="1:11" ht="15.75" customHeight="1">
      <c r="A4" s="43">
        <v>2</v>
      </c>
      <c r="B4" s="1" t="s">
        <v>5</v>
      </c>
      <c r="C4" s="13">
        <v>0.69</v>
      </c>
      <c r="D4" s="23">
        <v>0.99</v>
      </c>
      <c r="E4" s="23">
        <v>2.04</v>
      </c>
      <c r="F4" s="23">
        <v>0.01</v>
      </c>
      <c r="G4" s="55">
        <v>2.1877954415537794E-3</v>
      </c>
      <c r="H4" s="23">
        <v>7.0000000000000007E-2</v>
      </c>
      <c r="I4" s="23">
        <v>0.12</v>
      </c>
      <c r="J4" s="55">
        <f t="shared" si="0"/>
        <v>0.65921877954415542</v>
      </c>
      <c r="K4" s="52"/>
    </row>
    <row r="5" spans="1:11" ht="17.25" customHeight="1">
      <c r="A5" s="43">
        <v>3</v>
      </c>
      <c r="B5" s="1" t="s">
        <v>7</v>
      </c>
      <c r="C5" s="13">
        <v>1.32</v>
      </c>
      <c r="D5" s="23">
        <v>1.1100000000000001</v>
      </c>
      <c r="E5" s="23">
        <v>1.27</v>
      </c>
      <c r="F5" s="23">
        <v>0</v>
      </c>
      <c r="G5" s="55">
        <v>1.3132742568172298E-2</v>
      </c>
      <c r="H5" s="23">
        <v>0.03</v>
      </c>
      <c r="I5" s="23">
        <v>0.02</v>
      </c>
      <c r="J5" s="55">
        <f t="shared" si="0"/>
        <v>0.63431327425681727</v>
      </c>
      <c r="K5" s="52"/>
    </row>
    <row r="6" spans="1:11" ht="15.75">
      <c r="A6" s="43">
        <v>4</v>
      </c>
      <c r="B6" s="1" t="s">
        <v>19</v>
      </c>
      <c r="C6" s="13">
        <v>0.38</v>
      </c>
      <c r="D6" s="23">
        <v>1.82</v>
      </c>
      <c r="E6" s="23">
        <v>0.92</v>
      </c>
      <c r="F6" s="23">
        <v>0.09</v>
      </c>
      <c r="G6" s="55">
        <v>0.11404126591721622</v>
      </c>
      <c r="H6" s="23">
        <v>0.06</v>
      </c>
      <c r="I6" s="23">
        <v>0.13</v>
      </c>
      <c r="J6" s="55">
        <f t="shared" si="0"/>
        <v>0.47490412659172171</v>
      </c>
      <c r="K6" s="52"/>
    </row>
    <row r="7" spans="1:11" ht="17.25" customHeight="1">
      <c r="A7" s="43">
        <v>5</v>
      </c>
      <c r="B7" s="1" t="s">
        <v>25</v>
      </c>
      <c r="C7" s="13">
        <v>0.42</v>
      </c>
      <c r="D7" s="23">
        <v>1.4</v>
      </c>
      <c r="E7" s="23">
        <v>1.04</v>
      </c>
      <c r="F7" s="23">
        <v>0.03</v>
      </c>
      <c r="G7" s="55">
        <v>6.9533419034302241E-2</v>
      </c>
      <c r="H7" s="23">
        <v>0.06</v>
      </c>
      <c r="I7" s="23">
        <v>0.24</v>
      </c>
      <c r="J7" s="55">
        <f t="shared" si="0"/>
        <v>0.45995334190343024</v>
      </c>
      <c r="K7" s="52"/>
    </row>
    <row r="8" spans="1:11" ht="15.75">
      <c r="A8" s="43">
        <v>6</v>
      </c>
      <c r="B8" s="1" t="s">
        <v>133</v>
      </c>
      <c r="C8" s="13">
        <v>0.4</v>
      </c>
      <c r="D8" s="23">
        <v>0.94</v>
      </c>
      <c r="E8" s="23">
        <v>1.34</v>
      </c>
      <c r="F8" s="23">
        <v>0.01</v>
      </c>
      <c r="G8" s="55">
        <v>2.3006564776908166E-2</v>
      </c>
      <c r="H8" s="23">
        <v>0.02</v>
      </c>
      <c r="I8" s="23">
        <v>0.05</v>
      </c>
      <c r="J8" s="55">
        <f t="shared" si="0"/>
        <v>0.44980065647769085</v>
      </c>
      <c r="K8" s="52"/>
    </row>
    <row r="9" spans="1:11" ht="15.75">
      <c r="A9" s="43">
        <v>7</v>
      </c>
      <c r="B9" s="1" t="s">
        <v>10</v>
      </c>
      <c r="C9" s="13">
        <v>0.54</v>
      </c>
      <c r="D9" s="23">
        <v>1.38</v>
      </c>
      <c r="E9" s="23">
        <v>0.7</v>
      </c>
      <c r="F9" s="23">
        <v>0.1</v>
      </c>
      <c r="G9" s="55">
        <v>2.5710746211165425E-2</v>
      </c>
      <c r="H9" s="23">
        <v>0.1</v>
      </c>
      <c r="I9" s="23">
        <v>0.22</v>
      </c>
      <c r="J9" s="55">
        <f t="shared" si="0"/>
        <v>0.41957107462111659</v>
      </c>
      <c r="K9" s="52"/>
    </row>
    <row r="10" spans="1:11" ht="15.75">
      <c r="A10" s="43">
        <v>8</v>
      </c>
      <c r="B10" s="1" t="s">
        <v>9</v>
      </c>
      <c r="C10" s="13">
        <v>0.56999999999999995</v>
      </c>
      <c r="D10" s="23">
        <v>1.1399999999999999</v>
      </c>
      <c r="E10" s="23">
        <v>0.8</v>
      </c>
      <c r="F10" s="23">
        <v>0.15</v>
      </c>
      <c r="G10" s="55">
        <v>2.1996417744999573E-2</v>
      </c>
      <c r="H10" s="23">
        <v>0.03</v>
      </c>
      <c r="I10" s="23">
        <v>0.04</v>
      </c>
      <c r="J10" s="55">
        <f t="shared" si="0"/>
        <v>0.41019964177449997</v>
      </c>
      <c r="K10" s="52"/>
    </row>
    <row r="11" spans="1:11" ht="15.75">
      <c r="A11" s="43">
        <v>9</v>
      </c>
      <c r="B11" s="1" t="s">
        <v>13</v>
      </c>
      <c r="C11" s="13">
        <v>0.21</v>
      </c>
      <c r="D11" s="23">
        <v>1.61</v>
      </c>
      <c r="E11" s="23">
        <v>0.89</v>
      </c>
      <c r="F11" s="23">
        <v>0.01</v>
      </c>
      <c r="G11" s="55">
        <v>9.2217272535242867E-2</v>
      </c>
      <c r="H11" s="23">
        <v>0.08</v>
      </c>
      <c r="I11" s="23">
        <v>0.16</v>
      </c>
      <c r="J11" s="55">
        <f t="shared" si="0"/>
        <v>0.40722172725352435</v>
      </c>
      <c r="K11" s="52"/>
    </row>
    <row r="12" spans="1:11" ht="16.5" customHeight="1">
      <c r="A12" s="43">
        <v>10</v>
      </c>
      <c r="B12" s="1" t="s">
        <v>8</v>
      </c>
      <c r="C12" s="13">
        <v>0.34</v>
      </c>
      <c r="D12" s="23">
        <v>1.5</v>
      </c>
      <c r="E12" s="23">
        <v>0.84</v>
      </c>
      <c r="F12" s="23">
        <v>0.03</v>
      </c>
      <c r="G12" s="55">
        <v>8.9643558203020529E-2</v>
      </c>
      <c r="H12" s="23">
        <v>0.05</v>
      </c>
      <c r="I12" s="23">
        <v>0.06</v>
      </c>
      <c r="J12" s="55">
        <f t="shared" si="0"/>
        <v>0.40596435582030205</v>
      </c>
      <c r="K12" s="52"/>
    </row>
    <row r="13" spans="1:11" ht="16.5" customHeight="1">
      <c r="A13" s="43">
        <v>11</v>
      </c>
      <c r="B13" s="1" t="s">
        <v>11</v>
      </c>
      <c r="C13" s="13">
        <v>0.76</v>
      </c>
      <c r="D13" s="23">
        <v>0.81</v>
      </c>
      <c r="E13" s="23">
        <v>0.77</v>
      </c>
      <c r="F13" s="23">
        <v>0</v>
      </c>
      <c r="G13" s="55">
        <v>7.3970683095137421E-2</v>
      </c>
      <c r="H13" s="23">
        <v>0.02</v>
      </c>
      <c r="I13" s="23">
        <v>7.0000000000000007E-2</v>
      </c>
      <c r="J13" s="55">
        <f t="shared" si="0"/>
        <v>0.39989706830951383</v>
      </c>
      <c r="K13" s="52"/>
    </row>
    <row r="14" spans="1:11" ht="15.75">
      <c r="A14" s="43">
        <v>12</v>
      </c>
      <c r="B14" s="1" t="s">
        <v>14</v>
      </c>
      <c r="C14" s="13">
        <v>0.53</v>
      </c>
      <c r="D14" s="23">
        <v>0.98</v>
      </c>
      <c r="E14" s="23">
        <v>0.83</v>
      </c>
      <c r="F14" s="23">
        <v>0.03</v>
      </c>
      <c r="G14" s="55">
        <v>5.0327039267337031E-2</v>
      </c>
      <c r="H14" s="23">
        <v>0.03</v>
      </c>
      <c r="I14" s="23">
        <v>0.05</v>
      </c>
      <c r="J14" s="55">
        <f t="shared" si="0"/>
        <v>0.38353270392673372</v>
      </c>
      <c r="K14" s="52"/>
    </row>
    <row r="15" spans="1:11" ht="15.75">
      <c r="A15" s="43">
        <v>13</v>
      </c>
      <c r="B15" s="1" t="s">
        <v>29</v>
      </c>
      <c r="C15" s="13">
        <v>0.54</v>
      </c>
      <c r="D15" s="23">
        <v>1.39</v>
      </c>
      <c r="E15" s="23">
        <v>0.52</v>
      </c>
      <c r="F15" s="23">
        <v>0.04</v>
      </c>
      <c r="G15" s="55">
        <v>2.18150824589247E-2</v>
      </c>
      <c r="H15" s="23">
        <v>0.02</v>
      </c>
      <c r="I15" s="23">
        <v>0.22</v>
      </c>
      <c r="J15" s="55">
        <f t="shared" si="0"/>
        <v>0.37018150824589247</v>
      </c>
      <c r="K15" s="52"/>
    </row>
    <row r="16" spans="1:11" ht="15.75">
      <c r="A16" s="43">
        <v>14</v>
      </c>
      <c r="B16" s="109" t="s">
        <v>16</v>
      </c>
      <c r="C16" s="13">
        <v>0.44</v>
      </c>
      <c r="D16" s="23">
        <v>1.26</v>
      </c>
      <c r="E16" s="23">
        <v>0.76</v>
      </c>
      <c r="F16" s="23">
        <v>0</v>
      </c>
      <c r="G16" s="55">
        <v>0</v>
      </c>
      <c r="H16" s="23">
        <v>0</v>
      </c>
      <c r="I16" s="23">
        <v>0.06</v>
      </c>
      <c r="J16" s="55">
        <f t="shared" si="0"/>
        <v>0.36900000000000005</v>
      </c>
      <c r="K16" s="52"/>
    </row>
    <row r="17" spans="1:11" ht="18" customHeight="1">
      <c r="A17" s="43">
        <v>15</v>
      </c>
      <c r="B17" s="1" t="s">
        <v>6</v>
      </c>
      <c r="C17" s="13">
        <v>0.51</v>
      </c>
      <c r="D17" s="23">
        <v>1.1100000000000001</v>
      </c>
      <c r="E17" s="23">
        <v>0.62</v>
      </c>
      <c r="F17" s="23">
        <v>0.03</v>
      </c>
      <c r="G17" s="55">
        <v>2.9225342131294116E-2</v>
      </c>
      <c r="H17" s="23">
        <v>0.05</v>
      </c>
      <c r="I17" s="23">
        <v>0.28999999999999998</v>
      </c>
      <c r="J17" s="55">
        <f t="shared" si="0"/>
        <v>0.36242253421312948</v>
      </c>
      <c r="K17" s="52"/>
    </row>
    <row r="18" spans="1:11" ht="17.25" customHeight="1">
      <c r="A18" s="43">
        <v>16</v>
      </c>
      <c r="B18" s="1" t="s">
        <v>12</v>
      </c>
      <c r="C18" s="13">
        <v>0.5</v>
      </c>
      <c r="D18" s="23">
        <v>0.87</v>
      </c>
      <c r="E18" s="23">
        <v>0.74</v>
      </c>
      <c r="F18" s="23">
        <v>0.09</v>
      </c>
      <c r="G18" s="55">
        <v>1.6165980814630831E-2</v>
      </c>
      <c r="H18" s="23">
        <v>0</v>
      </c>
      <c r="I18" s="23">
        <v>0.09</v>
      </c>
      <c r="J18" s="55">
        <f t="shared" si="0"/>
        <v>0.35011659808146306</v>
      </c>
      <c r="K18" s="52"/>
    </row>
    <row r="19" spans="1:11" ht="15.75">
      <c r="A19" s="43">
        <v>17</v>
      </c>
      <c r="B19" s="1" t="s">
        <v>20</v>
      </c>
      <c r="C19" s="13">
        <v>0.38</v>
      </c>
      <c r="D19" s="23">
        <v>1.2</v>
      </c>
      <c r="E19" s="23">
        <v>0.67</v>
      </c>
      <c r="F19" s="23">
        <v>0.06</v>
      </c>
      <c r="G19" s="55">
        <v>1.2442709457979399E-2</v>
      </c>
      <c r="H19" s="23">
        <v>0.06</v>
      </c>
      <c r="I19" s="23">
        <v>7.0000000000000007E-2</v>
      </c>
      <c r="J19" s="55">
        <f t="shared" si="0"/>
        <v>0.34674427094579796</v>
      </c>
      <c r="K19" s="52"/>
    </row>
    <row r="20" spans="1:11" ht="15.75">
      <c r="A20" s="43">
        <v>18</v>
      </c>
      <c r="B20" s="1" t="s">
        <v>28</v>
      </c>
      <c r="C20" s="13">
        <v>0.23</v>
      </c>
      <c r="D20" s="23">
        <v>1.04</v>
      </c>
      <c r="E20" s="23">
        <v>0.84</v>
      </c>
      <c r="F20" s="23">
        <v>0</v>
      </c>
      <c r="G20" s="55">
        <v>1.6275637115214056E-2</v>
      </c>
      <c r="H20" s="23">
        <v>0</v>
      </c>
      <c r="I20" s="23">
        <v>0.06</v>
      </c>
      <c r="J20" s="55">
        <f t="shared" si="0"/>
        <v>0.32262756371152146</v>
      </c>
      <c r="K20" s="52"/>
    </row>
    <row r="21" spans="1:11" ht="15.75">
      <c r="A21" s="43">
        <v>19</v>
      </c>
      <c r="B21" s="1" t="s">
        <v>21</v>
      </c>
      <c r="C21" s="13">
        <v>0.22</v>
      </c>
      <c r="D21" s="23">
        <v>1.49</v>
      </c>
      <c r="E21" s="23">
        <v>0.49</v>
      </c>
      <c r="F21" s="23">
        <v>0.13</v>
      </c>
      <c r="G21" s="55">
        <v>1.3098177776974685E-2</v>
      </c>
      <c r="H21" s="23">
        <v>0</v>
      </c>
      <c r="I21" s="23">
        <v>0.1</v>
      </c>
      <c r="J21" s="55">
        <f t="shared" si="0"/>
        <v>0.31030981777769751</v>
      </c>
      <c r="K21" s="52"/>
    </row>
    <row r="22" spans="1:11" ht="15.75">
      <c r="A22" s="43">
        <v>20</v>
      </c>
      <c r="B22" s="1" t="s">
        <v>15</v>
      </c>
      <c r="C22" s="13">
        <v>0.16</v>
      </c>
      <c r="D22" s="23">
        <v>1.02</v>
      </c>
      <c r="E22" s="23">
        <v>0.73</v>
      </c>
      <c r="F22" s="23">
        <v>0</v>
      </c>
      <c r="G22" s="55">
        <v>1.0756882695066559E-3</v>
      </c>
      <c r="H22" s="23">
        <v>0.06</v>
      </c>
      <c r="I22" s="23">
        <v>0.05</v>
      </c>
      <c r="J22" s="55">
        <f t="shared" si="0"/>
        <v>0.28860756882695071</v>
      </c>
      <c r="K22" s="52"/>
    </row>
    <row r="23" spans="1:11" ht="15.75">
      <c r="A23" s="43">
        <v>21</v>
      </c>
      <c r="B23" s="1" t="s">
        <v>26</v>
      </c>
      <c r="C23" s="13">
        <v>0.06</v>
      </c>
      <c r="D23" s="23">
        <v>1.53</v>
      </c>
      <c r="E23" s="23">
        <v>0.38</v>
      </c>
      <c r="F23" s="23">
        <v>0.06</v>
      </c>
      <c r="G23" s="55">
        <v>5.8711946132886765E-2</v>
      </c>
      <c r="H23" s="23">
        <v>0.12</v>
      </c>
      <c r="I23" s="23">
        <v>7.0000000000000007E-2</v>
      </c>
      <c r="J23" s="55">
        <f t="shared" si="0"/>
        <v>0.26837119461328873</v>
      </c>
      <c r="K23" s="52"/>
    </row>
    <row r="24" spans="1:11" ht="15.75">
      <c r="A24" s="43">
        <v>22</v>
      </c>
      <c r="B24" s="1" t="s">
        <v>27</v>
      </c>
      <c r="C24" s="13">
        <v>0.22</v>
      </c>
      <c r="D24" s="23">
        <v>0.79</v>
      </c>
      <c r="E24" s="23">
        <v>0.52</v>
      </c>
      <c r="F24" s="23">
        <v>0.03</v>
      </c>
      <c r="G24" s="55">
        <v>1.2977564637378298E-2</v>
      </c>
      <c r="H24" s="23">
        <v>0.04</v>
      </c>
      <c r="I24" s="23">
        <v>0.04</v>
      </c>
      <c r="J24" s="55">
        <f t="shared" si="0"/>
        <v>0.23729775646373788</v>
      </c>
      <c r="K24" s="52"/>
    </row>
    <row r="25" spans="1:11" ht="15.75">
      <c r="A25" s="43">
        <v>23</v>
      </c>
      <c r="B25" s="109" t="s">
        <v>17</v>
      </c>
      <c r="C25" s="13">
        <v>0.08</v>
      </c>
      <c r="D25" s="23">
        <v>1.1599999999999999</v>
      </c>
      <c r="E25" s="23">
        <v>0.43</v>
      </c>
      <c r="F25" s="23">
        <v>0</v>
      </c>
      <c r="G25" s="55">
        <v>3.0209084060285503E-2</v>
      </c>
      <c r="H25" s="23">
        <v>0</v>
      </c>
      <c r="I25" s="23">
        <v>0.1</v>
      </c>
      <c r="J25" s="55">
        <f t="shared" si="0"/>
        <v>0.22602090840602859</v>
      </c>
      <c r="K25" s="52"/>
    </row>
    <row r="26" spans="1:11" ht="15.75">
      <c r="A26" s="43">
        <v>24</v>
      </c>
      <c r="B26" s="109" t="s">
        <v>30</v>
      </c>
      <c r="C26" s="13">
        <v>0.1</v>
      </c>
      <c r="D26" s="23">
        <v>1.1499999999999999</v>
      </c>
      <c r="E26" s="23">
        <v>0.38</v>
      </c>
      <c r="F26" s="23">
        <v>0</v>
      </c>
      <c r="G26" s="55">
        <v>6.088805747623687E-3</v>
      </c>
      <c r="H26" s="23">
        <v>0</v>
      </c>
      <c r="I26" s="23">
        <v>0.08</v>
      </c>
      <c r="J26" s="55">
        <f t="shared" si="0"/>
        <v>0.21560888057476241</v>
      </c>
      <c r="K26" s="52"/>
    </row>
    <row r="27" spans="1:11" ht="15.75">
      <c r="A27" s="43">
        <v>25</v>
      </c>
      <c r="B27" s="109" t="s">
        <v>18</v>
      </c>
      <c r="C27" s="13">
        <v>0.2</v>
      </c>
      <c r="D27" s="23">
        <v>0.74</v>
      </c>
      <c r="E27" s="23">
        <v>0.38</v>
      </c>
      <c r="F27" s="23">
        <v>0.01</v>
      </c>
      <c r="G27" s="55">
        <v>4.0383575997214802E-2</v>
      </c>
      <c r="H27" s="23">
        <v>0</v>
      </c>
      <c r="I27" s="23">
        <v>0.09</v>
      </c>
      <c r="J27" s="55">
        <f t="shared" si="0"/>
        <v>0.19953835759972149</v>
      </c>
      <c r="K27" s="52"/>
    </row>
    <row r="28" spans="1:11" ht="15.75">
      <c r="A28" s="43">
        <v>26</v>
      </c>
      <c r="B28" s="1" t="s">
        <v>24</v>
      </c>
      <c r="C28" s="13">
        <v>7.0000000000000007E-2</v>
      </c>
      <c r="D28" s="23">
        <v>0.91</v>
      </c>
      <c r="E28" s="23">
        <v>0.37</v>
      </c>
      <c r="F28" s="23">
        <v>0.01</v>
      </c>
      <c r="G28" s="55">
        <v>5.8886416411877535E-4</v>
      </c>
      <c r="H28" s="23">
        <v>0.06</v>
      </c>
      <c r="I28" s="23">
        <v>0.05</v>
      </c>
      <c r="J28" s="55">
        <f t="shared" si="0"/>
        <v>0.18855888641641189</v>
      </c>
      <c r="K28" s="52"/>
    </row>
    <row r="29" spans="1:11" ht="15.75">
      <c r="A29" s="43">
        <v>27</v>
      </c>
      <c r="B29" s="1" t="s">
        <v>112</v>
      </c>
      <c r="C29" s="13">
        <v>0.05</v>
      </c>
      <c r="D29" s="23">
        <v>1.08</v>
      </c>
      <c r="E29" s="23">
        <v>0.22</v>
      </c>
      <c r="F29" s="23">
        <v>0.03</v>
      </c>
      <c r="G29" s="55">
        <v>3.5644587282766982E-2</v>
      </c>
      <c r="H29" s="23">
        <v>0</v>
      </c>
      <c r="I29" s="23">
        <v>0.1</v>
      </c>
      <c r="J29" s="55">
        <f t="shared" si="0"/>
        <v>0.17356445872827675</v>
      </c>
      <c r="K29" s="52"/>
    </row>
    <row r="30" spans="1:11" ht="19.5" customHeight="1">
      <c r="A30" s="43">
        <v>28</v>
      </c>
      <c r="B30" s="107" t="s">
        <v>22</v>
      </c>
      <c r="C30" s="13">
        <v>0.11</v>
      </c>
      <c r="D30" s="23">
        <v>0.95</v>
      </c>
      <c r="E30" s="23">
        <v>0.23</v>
      </c>
      <c r="F30" s="23">
        <v>0</v>
      </c>
      <c r="G30" s="55">
        <v>4.3388930646797393E-2</v>
      </c>
      <c r="H30" s="23">
        <v>0</v>
      </c>
      <c r="I30" s="23">
        <v>0.12</v>
      </c>
      <c r="J30" s="55">
        <f t="shared" si="0"/>
        <v>0.17333889306467976</v>
      </c>
      <c r="K30" s="52"/>
    </row>
    <row r="31" spans="1:11" ht="16.5" customHeight="1">
      <c r="A31" s="43">
        <v>29</v>
      </c>
      <c r="B31" s="109" t="s">
        <v>23</v>
      </c>
      <c r="C31" s="13">
        <v>0.04</v>
      </c>
      <c r="D31" s="23">
        <v>0.87</v>
      </c>
      <c r="E31" s="23">
        <v>0.33</v>
      </c>
      <c r="F31" s="23">
        <v>0</v>
      </c>
      <c r="G31" s="55">
        <v>1.4498495368665626E-2</v>
      </c>
      <c r="H31" s="23">
        <v>0</v>
      </c>
      <c r="I31" s="23">
        <v>0.04</v>
      </c>
      <c r="J31" s="55">
        <f t="shared" si="0"/>
        <v>0.16444984953686656</v>
      </c>
      <c r="K31" s="52"/>
    </row>
    <row r="32" spans="1:11" ht="15.75">
      <c r="A32" s="43">
        <v>30</v>
      </c>
      <c r="B32" s="1" t="s">
        <v>31</v>
      </c>
      <c r="C32" s="13">
        <v>0.06</v>
      </c>
      <c r="D32" s="23">
        <v>0.61</v>
      </c>
      <c r="E32" s="23">
        <v>0.28000000000000003</v>
      </c>
      <c r="F32" s="23">
        <v>0.01</v>
      </c>
      <c r="G32" s="55">
        <v>1.0539528099413038E-2</v>
      </c>
      <c r="H32" s="23">
        <v>0.02</v>
      </c>
      <c r="I32" s="23">
        <v>0.05</v>
      </c>
      <c r="J32" s="55">
        <f t="shared" si="0"/>
        <v>0.13555395280994131</v>
      </c>
      <c r="K32" s="52"/>
    </row>
    <row r="33" spans="1:11" ht="15.75">
      <c r="A33" s="43">
        <v>31</v>
      </c>
      <c r="B33" s="109" t="s">
        <v>32</v>
      </c>
      <c r="C33" s="13">
        <v>0</v>
      </c>
      <c r="D33" s="23">
        <v>0.2</v>
      </c>
      <c r="E33" s="23">
        <v>0.13</v>
      </c>
      <c r="F33" s="23">
        <v>0</v>
      </c>
      <c r="G33" s="55">
        <v>0</v>
      </c>
      <c r="H33" s="23">
        <v>0</v>
      </c>
      <c r="I33" s="23">
        <v>0</v>
      </c>
      <c r="J33" s="55">
        <f t="shared" si="0"/>
        <v>4.6000000000000006E-2</v>
      </c>
      <c r="K33" s="52"/>
    </row>
    <row r="34" spans="1:11"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50" customHeight="1">
      <c r="A35" s="111" t="s">
        <v>164</v>
      </c>
      <c r="B35" s="53" t="s">
        <v>41</v>
      </c>
      <c r="C35" s="103" t="s">
        <v>110</v>
      </c>
      <c r="D35" s="103" t="s">
        <v>111</v>
      </c>
      <c r="E35" s="104" t="s">
        <v>161</v>
      </c>
      <c r="F35" s="104" t="s">
        <v>152</v>
      </c>
      <c r="G35" s="104" t="s">
        <v>166</v>
      </c>
      <c r="H35" s="104" t="s">
        <v>163</v>
      </c>
      <c r="I35" s="104" t="s">
        <v>153</v>
      </c>
      <c r="J35" s="103" t="s">
        <v>154</v>
      </c>
      <c r="K35" s="36" t="s">
        <v>98</v>
      </c>
    </row>
    <row r="36" spans="1:11" ht="15.75">
      <c r="A36" s="43">
        <v>1</v>
      </c>
      <c r="B36" s="1" t="s">
        <v>33</v>
      </c>
      <c r="C36" s="33">
        <v>1.51</v>
      </c>
      <c r="D36" s="23">
        <v>2.19</v>
      </c>
      <c r="E36" s="23">
        <v>1.62</v>
      </c>
      <c r="F36" s="23">
        <v>0.38</v>
      </c>
      <c r="G36" s="23">
        <v>0.49</v>
      </c>
      <c r="H36" s="23">
        <v>0.31</v>
      </c>
      <c r="I36" s="23">
        <v>0.05</v>
      </c>
      <c r="J36" s="23">
        <v>0.12</v>
      </c>
      <c r="K36" s="54">
        <f>0.2*C36+0.1*D36+0.2*E36+0.1*F36+0.1*(G36+H36)+0.05*I36+0.05*J36</f>
        <v>0.97150000000000003</v>
      </c>
    </row>
    <row r="37" spans="1:11" ht="15.75">
      <c r="A37" s="43">
        <v>2</v>
      </c>
      <c r="B37" s="1" t="s">
        <v>34</v>
      </c>
      <c r="C37" s="33">
        <v>1.72</v>
      </c>
      <c r="D37" s="23">
        <v>1.25</v>
      </c>
      <c r="E37" s="23">
        <v>1.78</v>
      </c>
      <c r="F37" s="23">
        <v>0.24</v>
      </c>
      <c r="G37" s="23">
        <v>0.19</v>
      </c>
      <c r="H37" s="23">
        <v>0.24</v>
      </c>
      <c r="I37" s="23">
        <v>0.05</v>
      </c>
      <c r="J37" s="23">
        <v>0.81</v>
      </c>
      <c r="K37" s="54">
        <f>0.2*C37+0.1*D37+0.2*E37+0.1*F37+0.1*(G37+H37)+0.05*I37+0.05*J37</f>
        <v>0.93500000000000005</v>
      </c>
    </row>
    <row r="38" spans="1:11" ht="34.5" customHeight="1">
      <c r="A38" s="43">
        <v>3</v>
      </c>
      <c r="B38" s="1" t="s">
        <v>36</v>
      </c>
      <c r="C38" s="33">
        <v>0.94</v>
      </c>
      <c r="D38" s="23">
        <v>1.35</v>
      </c>
      <c r="E38" s="23">
        <v>2.0099999999999998</v>
      </c>
      <c r="F38" s="23">
        <v>0.13</v>
      </c>
      <c r="G38" s="23">
        <v>0.37</v>
      </c>
      <c r="H38" s="23">
        <v>0.13</v>
      </c>
      <c r="I38" s="23">
        <v>0.1</v>
      </c>
      <c r="J38" s="23">
        <v>0.54</v>
      </c>
      <c r="K38" s="54">
        <f>0.2*C38+0.1*D38+0.2*E38+0.1*F38+0.1*(G38+H38)+0.05*I38+0.05*J38</f>
        <v>0.82000000000000006</v>
      </c>
    </row>
    <row r="39" spans="1:11" ht="31.5">
      <c r="A39" s="43">
        <v>4</v>
      </c>
      <c r="B39" s="1" t="s">
        <v>35</v>
      </c>
      <c r="C39" s="33">
        <v>0.55000000000000004</v>
      </c>
      <c r="D39" s="23">
        <v>1.54</v>
      </c>
      <c r="E39" s="23">
        <v>2.2400000000000002</v>
      </c>
      <c r="F39" s="23">
        <v>0.25</v>
      </c>
      <c r="G39" s="23">
        <v>-0.05</v>
      </c>
      <c r="H39" s="23">
        <v>0.32</v>
      </c>
      <c r="I39" s="23">
        <v>0.03</v>
      </c>
      <c r="J39" s="23">
        <v>0.54</v>
      </c>
      <c r="K39" s="54">
        <f>0.2*C39+0.1*D39+0.2*E39+0.1*F39+0.1*(G39+H39)+0.05*I39+0.05*J39</f>
        <v>0.79250000000000009</v>
      </c>
    </row>
  </sheetData>
  <sortState ref="B3:J33">
    <sortCondition descending="1" ref="J3:J33"/>
  </sortState>
  <mergeCells count="1">
    <mergeCell ref="A1:J1"/>
  </mergeCells>
  <pageMargins left="0.27" right="0.2" top="0.36" bottom="0.35" header="0.31" footer="0.24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70" zoomScaleNormal="70" workbookViewId="0"/>
  </sheetViews>
  <sheetFormatPr defaultRowHeight="12.75"/>
  <cols>
    <col min="1" max="1" width="6.7109375" customWidth="1"/>
    <col min="2" max="2" width="50" customWidth="1"/>
    <col min="3" max="3" width="24.85546875" customWidth="1"/>
    <col min="4" max="4" width="21.28515625" customWidth="1"/>
    <col min="5" max="5" width="28.28515625" customWidth="1"/>
  </cols>
  <sheetData>
    <row r="1" spans="1:5" ht="48" customHeight="1">
      <c r="B1" s="168" t="s">
        <v>37</v>
      </c>
      <c r="C1" s="168"/>
    </row>
    <row r="2" spans="1:5" ht="96.75" customHeight="1">
      <c r="A2" s="43" t="s">
        <v>99</v>
      </c>
      <c r="B2" s="58" t="s">
        <v>0</v>
      </c>
      <c r="C2" s="58" t="s">
        <v>1</v>
      </c>
      <c r="D2" s="58" t="s">
        <v>2</v>
      </c>
      <c r="E2" s="58" t="s">
        <v>150</v>
      </c>
    </row>
    <row r="3" spans="1:5" ht="34.5" customHeight="1">
      <c r="A3" s="43">
        <v>1</v>
      </c>
      <c r="B3" s="1" t="s">
        <v>7</v>
      </c>
      <c r="C3" s="106">
        <v>1257.0999999999999</v>
      </c>
      <c r="D3" s="106">
        <v>342.6</v>
      </c>
      <c r="E3" s="13">
        <v>1.32</v>
      </c>
    </row>
    <row r="4" spans="1:5" ht="31.5">
      <c r="A4" s="43">
        <v>2</v>
      </c>
      <c r="B4" s="1" t="s">
        <v>4</v>
      </c>
      <c r="C4" s="106">
        <v>349.5</v>
      </c>
      <c r="D4" s="106">
        <v>1087.2</v>
      </c>
      <c r="E4" s="13">
        <v>1.28</v>
      </c>
    </row>
    <row r="5" spans="1:5" ht="18.75" customHeight="1">
      <c r="A5" s="43">
        <v>3</v>
      </c>
      <c r="B5" s="1" t="s">
        <v>11</v>
      </c>
      <c r="C5" s="106">
        <v>40.9</v>
      </c>
      <c r="D5" s="106">
        <v>792.1</v>
      </c>
      <c r="E5" s="13">
        <v>0.76</v>
      </c>
    </row>
    <row r="6" spans="1:5" ht="29.25" customHeight="1">
      <c r="A6" s="43">
        <v>4</v>
      </c>
      <c r="B6" s="1" t="s">
        <v>5</v>
      </c>
      <c r="C6" s="106">
        <v>17</v>
      </c>
      <c r="D6" s="106">
        <v>738</v>
      </c>
      <c r="E6" s="13">
        <v>0.69</v>
      </c>
    </row>
    <row r="7" spans="1:5" ht="15.75">
      <c r="A7" s="43">
        <v>5</v>
      </c>
      <c r="B7" s="1" t="s">
        <v>9</v>
      </c>
      <c r="C7" s="106">
        <v>72.8</v>
      </c>
      <c r="D7" s="106">
        <v>557.6</v>
      </c>
      <c r="E7" s="13">
        <v>0.56999999999999995</v>
      </c>
    </row>
    <row r="8" spans="1:5" ht="15.75">
      <c r="A8" s="43">
        <v>6</v>
      </c>
      <c r="B8" s="107" t="s">
        <v>10</v>
      </c>
      <c r="C8" s="106">
        <v>0</v>
      </c>
      <c r="D8" s="106">
        <v>586.70000000000005</v>
      </c>
      <c r="E8" s="13">
        <v>0.54</v>
      </c>
    </row>
    <row r="9" spans="1:5" ht="15.75">
      <c r="A9" s="43">
        <v>7</v>
      </c>
      <c r="B9" s="1" t="s">
        <v>29</v>
      </c>
      <c r="C9" s="106">
        <v>0</v>
      </c>
      <c r="D9" s="106">
        <v>585.9</v>
      </c>
      <c r="E9" s="13">
        <v>0.54</v>
      </c>
    </row>
    <row r="10" spans="1:5" ht="17.25" customHeight="1">
      <c r="A10" s="43">
        <v>8</v>
      </c>
      <c r="B10" s="1" t="s">
        <v>14</v>
      </c>
      <c r="C10" s="106">
        <v>259.39999999999998</v>
      </c>
      <c r="D10" s="106">
        <v>350.2</v>
      </c>
      <c r="E10" s="13">
        <v>0.53</v>
      </c>
    </row>
    <row r="11" spans="1:5" ht="17.25" customHeight="1">
      <c r="A11" s="43">
        <v>9</v>
      </c>
      <c r="B11" s="1" t="s">
        <v>6</v>
      </c>
      <c r="C11" s="108">
        <v>116.7</v>
      </c>
      <c r="D11" s="108">
        <v>455.1</v>
      </c>
      <c r="E11" s="13">
        <v>0.51</v>
      </c>
    </row>
    <row r="12" spans="1:5" ht="15.75">
      <c r="A12" s="43">
        <v>10</v>
      </c>
      <c r="B12" s="1" t="s">
        <v>12</v>
      </c>
      <c r="C12" s="106">
        <v>144.69999999999999</v>
      </c>
      <c r="D12" s="106">
        <v>407.7</v>
      </c>
      <c r="E12" s="13">
        <v>0.5</v>
      </c>
    </row>
    <row r="13" spans="1:5" ht="15.75">
      <c r="A13" s="43">
        <v>11</v>
      </c>
      <c r="B13" s="1" t="s">
        <v>16</v>
      </c>
      <c r="C13" s="106">
        <v>31.7</v>
      </c>
      <c r="D13" s="106">
        <v>444.9</v>
      </c>
      <c r="E13" s="13">
        <v>0.44</v>
      </c>
    </row>
    <row r="14" spans="1:5" ht="15.75">
      <c r="A14" s="43">
        <v>12</v>
      </c>
      <c r="B14" s="1" t="s">
        <v>25</v>
      </c>
      <c r="C14" s="106">
        <v>110.6</v>
      </c>
      <c r="D14" s="106">
        <v>357.1</v>
      </c>
      <c r="E14" s="13">
        <v>0.42</v>
      </c>
    </row>
    <row r="15" spans="1:5" ht="14.25" customHeight="1">
      <c r="A15" s="43">
        <v>13</v>
      </c>
      <c r="B15" s="1" t="s">
        <v>133</v>
      </c>
      <c r="C15" s="106">
        <v>182.9</v>
      </c>
      <c r="D15" s="106">
        <v>268.8</v>
      </c>
      <c r="E15" s="13">
        <v>0.4</v>
      </c>
    </row>
    <row r="16" spans="1:5" ht="15.75">
      <c r="A16" s="43">
        <v>14</v>
      </c>
      <c r="B16" s="1" t="s">
        <v>19</v>
      </c>
      <c r="C16" s="106">
        <v>57.7</v>
      </c>
      <c r="D16" s="106">
        <v>358.6</v>
      </c>
      <c r="E16" s="13">
        <v>0.38</v>
      </c>
    </row>
    <row r="17" spans="1:5" ht="16.5" customHeight="1">
      <c r="A17" s="43">
        <v>15</v>
      </c>
      <c r="B17" s="1" t="s">
        <v>20</v>
      </c>
      <c r="C17" s="106">
        <v>0</v>
      </c>
      <c r="D17" s="106">
        <v>410.3</v>
      </c>
      <c r="E17" s="13">
        <v>0.38</v>
      </c>
    </row>
    <row r="18" spans="1:5" ht="18" customHeight="1">
      <c r="A18" s="43">
        <v>16</v>
      </c>
      <c r="B18" s="1" t="s">
        <v>8</v>
      </c>
      <c r="C18" s="106">
        <v>164.9</v>
      </c>
      <c r="D18" s="106">
        <v>226.2</v>
      </c>
      <c r="E18" s="13">
        <v>0.34</v>
      </c>
    </row>
    <row r="19" spans="1:5" ht="15.75">
      <c r="A19" s="43">
        <v>17</v>
      </c>
      <c r="B19" s="1" t="s">
        <v>28</v>
      </c>
      <c r="C19" s="106">
        <v>0</v>
      </c>
      <c r="D19" s="106">
        <v>254</v>
      </c>
      <c r="E19" s="13">
        <v>0.23</v>
      </c>
    </row>
    <row r="20" spans="1:5" ht="13.5" customHeight="1">
      <c r="A20" s="43">
        <v>18</v>
      </c>
      <c r="B20" s="1" t="s">
        <v>21</v>
      </c>
      <c r="C20" s="106">
        <v>41.8</v>
      </c>
      <c r="D20" s="106">
        <v>212</v>
      </c>
      <c r="E20" s="13">
        <v>0.22</v>
      </c>
    </row>
    <row r="21" spans="1:5" ht="15.75">
      <c r="A21" s="43">
        <v>19</v>
      </c>
      <c r="B21" s="1" t="s">
        <v>27</v>
      </c>
      <c r="C21" s="106">
        <v>59.6</v>
      </c>
      <c r="D21" s="106">
        <v>184.3</v>
      </c>
      <c r="E21" s="13">
        <v>0.22</v>
      </c>
    </row>
    <row r="22" spans="1:5" ht="15.75">
      <c r="A22" s="43">
        <v>20</v>
      </c>
      <c r="B22" s="1" t="s">
        <v>13</v>
      </c>
      <c r="C22" s="106">
        <v>64.400000000000006</v>
      </c>
      <c r="D22" s="106">
        <v>170.4</v>
      </c>
      <c r="E22" s="13">
        <v>0.21</v>
      </c>
    </row>
    <row r="23" spans="1:5" ht="15.75">
      <c r="A23" s="43">
        <v>21</v>
      </c>
      <c r="B23" s="1" t="s">
        <v>18</v>
      </c>
      <c r="C23" s="106">
        <v>107.2</v>
      </c>
      <c r="D23" s="106">
        <v>124.4</v>
      </c>
      <c r="E23" s="13">
        <v>0.2</v>
      </c>
    </row>
    <row r="24" spans="1:5" ht="15.75">
      <c r="A24" s="43">
        <v>22</v>
      </c>
      <c r="B24" s="1" t="s">
        <v>15</v>
      </c>
      <c r="C24" s="106">
        <v>22</v>
      </c>
      <c r="D24" s="106">
        <v>148.19999999999999</v>
      </c>
      <c r="E24" s="13">
        <v>0.16</v>
      </c>
    </row>
    <row r="25" spans="1:5" ht="16.5" customHeight="1">
      <c r="A25" s="43">
        <v>23</v>
      </c>
      <c r="B25" s="1" t="s">
        <v>22</v>
      </c>
      <c r="C25" s="106">
        <v>0</v>
      </c>
      <c r="D25" s="106">
        <v>123.8</v>
      </c>
      <c r="E25" s="13">
        <v>0.11</v>
      </c>
    </row>
    <row r="26" spans="1:5" ht="15.75">
      <c r="A26" s="43">
        <v>24</v>
      </c>
      <c r="B26" s="1" t="s">
        <v>30</v>
      </c>
      <c r="C26" s="106">
        <v>41.8</v>
      </c>
      <c r="D26" s="106">
        <v>74.3</v>
      </c>
      <c r="E26" s="13">
        <v>0.1</v>
      </c>
    </row>
    <row r="27" spans="1:5" ht="15.75">
      <c r="A27" s="43">
        <v>25</v>
      </c>
      <c r="B27" s="1" t="s">
        <v>17</v>
      </c>
      <c r="C27" s="106">
        <v>0</v>
      </c>
      <c r="D27" s="106">
        <v>88.6</v>
      </c>
      <c r="E27" s="13">
        <v>0.08</v>
      </c>
    </row>
    <row r="28" spans="1:5" ht="31.5">
      <c r="A28" s="43">
        <v>26</v>
      </c>
      <c r="B28" s="1" t="s">
        <v>24</v>
      </c>
      <c r="C28" s="106">
        <v>0</v>
      </c>
      <c r="D28" s="106">
        <v>72</v>
      </c>
      <c r="E28" s="13">
        <v>7.0000000000000007E-2</v>
      </c>
    </row>
    <row r="29" spans="1:5" ht="15.75">
      <c r="A29" s="43">
        <v>27</v>
      </c>
      <c r="B29" s="1" t="s">
        <v>26</v>
      </c>
      <c r="C29" s="106">
        <v>27.5</v>
      </c>
      <c r="D29" s="106">
        <v>43.2</v>
      </c>
      <c r="E29" s="13">
        <v>0.06</v>
      </c>
    </row>
    <row r="30" spans="1:5" ht="15.75" customHeight="1">
      <c r="A30" s="43">
        <v>28</v>
      </c>
      <c r="B30" s="1" t="s">
        <v>31</v>
      </c>
      <c r="C30" s="106">
        <v>0</v>
      </c>
      <c r="D30" s="106">
        <v>63.9</v>
      </c>
      <c r="E30" s="13">
        <v>0.06</v>
      </c>
    </row>
    <row r="31" spans="1:5" ht="15.75">
      <c r="A31" s="43">
        <v>29</v>
      </c>
      <c r="B31" s="1" t="s">
        <v>112</v>
      </c>
      <c r="C31" s="106">
        <v>0</v>
      </c>
      <c r="D31" s="106">
        <v>56.7</v>
      </c>
      <c r="E31" s="13">
        <v>0.05</v>
      </c>
    </row>
    <row r="32" spans="1:5" ht="31.5">
      <c r="A32" s="43">
        <v>30</v>
      </c>
      <c r="B32" s="1" t="s">
        <v>23</v>
      </c>
      <c r="C32" s="106">
        <v>0</v>
      </c>
      <c r="D32" s="106">
        <v>46.4</v>
      </c>
      <c r="E32" s="13">
        <v>0.04</v>
      </c>
    </row>
    <row r="33" spans="1:5" ht="15.75">
      <c r="A33" s="43">
        <v>31</v>
      </c>
      <c r="B33" s="1" t="s">
        <v>32</v>
      </c>
      <c r="C33" s="106">
        <v>0</v>
      </c>
      <c r="D33" s="106">
        <v>4</v>
      </c>
      <c r="E33" s="13">
        <v>0</v>
      </c>
    </row>
    <row r="34" spans="1:5" s="10" customFormat="1" ht="60.75" customHeight="1">
      <c r="A34" s="112"/>
      <c r="B34" s="169" t="s">
        <v>38</v>
      </c>
      <c r="C34" s="169"/>
      <c r="D34" s="115"/>
      <c r="E34" s="115"/>
    </row>
    <row r="35" spans="1:5" ht="57.75" customHeight="1">
      <c r="A35" s="43" t="s">
        <v>99</v>
      </c>
      <c r="B35" s="56" t="s">
        <v>41</v>
      </c>
      <c r="C35" s="56" t="s">
        <v>1</v>
      </c>
      <c r="D35" s="56" t="s">
        <v>2</v>
      </c>
      <c r="E35" s="56" t="s">
        <v>3</v>
      </c>
    </row>
    <row r="36" spans="1:5" ht="15.75">
      <c r="A36" s="43">
        <v>1</v>
      </c>
      <c r="B36" s="1" t="s">
        <v>34</v>
      </c>
      <c r="C36" s="33">
        <v>210.5</v>
      </c>
      <c r="D36" s="33">
        <v>328.6</v>
      </c>
      <c r="E36" s="33">
        <v>1.72</v>
      </c>
    </row>
    <row r="37" spans="1:5" ht="15.75">
      <c r="A37" s="43">
        <v>2</v>
      </c>
      <c r="B37" s="1" t="s">
        <v>33</v>
      </c>
      <c r="C37" s="33">
        <v>107.9</v>
      </c>
      <c r="D37" s="33">
        <v>454.9</v>
      </c>
      <c r="E37" s="33">
        <v>1.51</v>
      </c>
    </row>
    <row r="38" spans="1:5" ht="31.5">
      <c r="A38" s="43">
        <v>3</v>
      </c>
      <c r="B38" s="1" t="s">
        <v>36</v>
      </c>
      <c r="C38" s="33">
        <v>61.3</v>
      </c>
      <c r="D38" s="33">
        <v>296.2</v>
      </c>
      <c r="E38" s="33">
        <v>0.94</v>
      </c>
    </row>
    <row r="39" spans="1:5" ht="31.5">
      <c r="A39" s="43">
        <v>4</v>
      </c>
      <c r="B39" s="1" t="s">
        <v>35</v>
      </c>
      <c r="C39" s="33">
        <v>21.4</v>
      </c>
      <c r="D39" s="33">
        <v>203.6</v>
      </c>
      <c r="E39" s="33">
        <v>0.55000000000000004</v>
      </c>
    </row>
  </sheetData>
  <sortState ref="B3:E33">
    <sortCondition descending="1" ref="E3:E33"/>
  </sortState>
  <mergeCells count="2">
    <mergeCell ref="B1:C1"/>
    <mergeCell ref="B34:C34"/>
  </mergeCells>
  <phoneticPr fontId="0" type="noConversion"/>
  <pageMargins left="0.27559055118110237" right="0.27559055118110237" top="0.31496062992125984" bottom="0.31496062992125984" header="0.2362204724409449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workbookViewId="0"/>
  </sheetViews>
  <sheetFormatPr defaultRowHeight="12.75"/>
  <cols>
    <col min="1" max="1" width="7.42578125" customWidth="1"/>
    <col min="2" max="2" width="57.85546875" customWidth="1"/>
    <col min="3" max="3" width="17.140625" customWidth="1"/>
    <col min="4" max="4" width="14.140625" customWidth="1"/>
    <col min="5" max="5" width="14.42578125" customWidth="1"/>
    <col min="6" max="6" width="14.85546875" customWidth="1"/>
    <col min="7" max="7" width="21.42578125" customWidth="1"/>
    <col min="8" max="8" width="24.42578125" customWidth="1"/>
    <col min="9" max="9" width="22.85546875" customWidth="1"/>
    <col min="10" max="10" width="14.85546875" customWidth="1"/>
  </cols>
  <sheetData>
    <row r="1" spans="1:10" ht="37.5" customHeight="1">
      <c r="A1" s="20"/>
      <c r="B1" s="59" t="s">
        <v>39</v>
      </c>
      <c r="C1" s="20"/>
      <c r="D1" s="20"/>
      <c r="E1" s="20"/>
      <c r="F1" s="20"/>
      <c r="G1" s="20"/>
      <c r="H1" s="20"/>
      <c r="I1" s="20"/>
      <c r="J1" s="20"/>
    </row>
    <row r="2" spans="1:10" ht="223.5" customHeight="1">
      <c r="A2" s="153" t="s">
        <v>137</v>
      </c>
      <c r="B2" s="56" t="s">
        <v>0</v>
      </c>
      <c r="C2" s="56" t="s">
        <v>71</v>
      </c>
      <c r="D2" s="56" t="s">
        <v>72</v>
      </c>
      <c r="E2" s="56" t="s">
        <v>76</v>
      </c>
      <c r="F2" s="56" t="s">
        <v>73</v>
      </c>
      <c r="G2" s="56" t="s">
        <v>74</v>
      </c>
      <c r="H2" s="56" t="s">
        <v>75</v>
      </c>
      <c r="I2" s="56" t="s">
        <v>77</v>
      </c>
      <c r="J2" s="56" t="s">
        <v>149</v>
      </c>
    </row>
    <row r="3" spans="1:10" ht="15.75">
      <c r="A3" s="22">
        <v>1</v>
      </c>
      <c r="B3" s="9" t="s">
        <v>19</v>
      </c>
      <c r="C3" s="77">
        <v>11</v>
      </c>
      <c r="D3" s="77">
        <v>13</v>
      </c>
      <c r="E3" s="25">
        <v>0</v>
      </c>
      <c r="F3" s="28">
        <v>4</v>
      </c>
      <c r="G3" s="76">
        <v>12</v>
      </c>
      <c r="H3" s="76">
        <v>5</v>
      </c>
      <c r="I3" s="28">
        <v>96</v>
      </c>
      <c r="J3" s="23">
        <f t="shared" ref="J3:J33" si="0">(C3/D3)+(E3/F3)+(G3/D3)+(H3/I3)</f>
        <v>1.8213141025641024</v>
      </c>
    </row>
    <row r="4" spans="1:10" ht="15.75">
      <c r="A4" s="22">
        <v>2</v>
      </c>
      <c r="B4" s="9" t="s">
        <v>13</v>
      </c>
      <c r="C4" s="77">
        <v>13</v>
      </c>
      <c r="D4" s="77">
        <v>17</v>
      </c>
      <c r="E4" s="25">
        <v>0</v>
      </c>
      <c r="F4" s="28">
        <v>4</v>
      </c>
      <c r="G4" s="76">
        <v>13</v>
      </c>
      <c r="H4" s="76">
        <v>8</v>
      </c>
      <c r="I4" s="28">
        <v>96</v>
      </c>
      <c r="J4" s="23">
        <f t="shared" si="0"/>
        <v>1.6127450980392155</v>
      </c>
    </row>
    <row r="5" spans="1:10" ht="31.5">
      <c r="A5" s="22">
        <v>3</v>
      </c>
      <c r="B5" s="9" t="s">
        <v>4</v>
      </c>
      <c r="C5" s="77">
        <v>14</v>
      </c>
      <c r="D5" s="77">
        <v>15</v>
      </c>
      <c r="E5" s="25">
        <v>1</v>
      </c>
      <c r="F5" s="28">
        <v>4</v>
      </c>
      <c r="G5" s="76">
        <v>5</v>
      </c>
      <c r="H5" s="76">
        <v>5</v>
      </c>
      <c r="I5" s="28">
        <v>96</v>
      </c>
      <c r="J5" s="23">
        <f t="shared" si="0"/>
        <v>1.5687499999999999</v>
      </c>
    </row>
    <row r="6" spans="1:10" ht="15.75">
      <c r="A6" s="22">
        <v>4</v>
      </c>
      <c r="B6" s="9" t="s">
        <v>26</v>
      </c>
      <c r="C6" s="77">
        <v>18</v>
      </c>
      <c r="D6" s="77">
        <v>23</v>
      </c>
      <c r="E6" s="25">
        <v>0</v>
      </c>
      <c r="F6" s="28">
        <v>4</v>
      </c>
      <c r="G6" s="76">
        <v>14</v>
      </c>
      <c r="H6" s="76">
        <v>13</v>
      </c>
      <c r="I6" s="28">
        <v>96</v>
      </c>
      <c r="J6" s="23">
        <f t="shared" si="0"/>
        <v>1.5267210144927537</v>
      </c>
    </row>
    <row r="7" spans="1:10" ht="15.75">
      <c r="A7" s="22">
        <v>5</v>
      </c>
      <c r="B7" s="9" t="s">
        <v>8</v>
      </c>
      <c r="C7" s="77">
        <v>15</v>
      </c>
      <c r="D7" s="77">
        <v>17</v>
      </c>
      <c r="E7" s="25">
        <v>0</v>
      </c>
      <c r="F7" s="28">
        <v>4</v>
      </c>
      <c r="G7" s="76">
        <v>9</v>
      </c>
      <c r="H7" s="76">
        <v>8</v>
      </c>
      <c r="I7" s="28">
        <v>96</v>
      </c>
      <c r="J7" s="23">
        <f t="shared" si="0"/>
        <v>1.4950980392156861</v>
      </c>
    </row>
    <row r="8" spans="1:10" ht="15.75">
      <c r="A8" s="22">
        <v>6</v>
      </c>
      <c r="B8" s="9" t="s">
        <v>21</v>
      </c>
      <c r="C8" s="77">
        <v>11</v>
      </c>
      <c r="D8" s="77">
        <v>11</v>
      </c>
      <c r="E8" s="25">
        <v>0</v>
      </c>
      <c r="F8" s="28">
        <v>4</v>
      </c>
      <c r="G8" s="76">
        <v>5</v>
      </c>
      <c r="H8" s="76">
        <v>3</v>
      </c>
      <c r="I8" s="28">
        <v>96</v>
      </c>
      <c r="J8" s="23">
        <f t="shared" si="0"/>
        <v>1.4857954545454546</v>
      </c>
    </row>
    <row r="9" spans="1:10" ht="15.75">
      <c r="A9" s="22">
        <v>7</v>
      </c>
      <c r="B9" s="9" t="s">
        <v>25</v>
      </c>
      <c r="C9" s="77">
        <v>20</v>
      </c>
      <c r="D9" s="77">
        <v>26</v>
      </c>
      <c r="E9" s="25">
        <v>0</v>
      </c>
      <c r="F9" s="28">
        <v>4</v>
      </c>
      <c r="G9" s="76">
        <v>14</v>
      </c>
      <c r="H9" s="76">
        <v>9</v>
      </c>
      <c r="I9" s="28">
        <v>96</v>
      </c>
      <c r="J9" s="23">
        <f t="shared" si="0"/>
        <v>1.4014423076923077</v>
      </c>
    </row>
    <row r="10" spans="1:10" ht="15.75">
      <c r="A10" s="22">
        <v>8</v>
      </c>
      <c r="B10" s="9" t="s">
        <v>29</v>
      </c>
      <c r="C10" s="77">
        <v>7</v>
      </c>
      <c r="D10" s="77">
        <v>8</v>
      </c>
      <c r="E10" s="25">
        <v>0</v>
      </c>
      <c r="F10" s="28">
        <v>4</v>
      </c>
      <c r="G10" s="76">
        <v>4</v>
      </c>
      <c r="H10" s="76">
        <v>1</v>
      </c>
      <c r="I10" s="28">
        <v>96</v>
      </c>
      <c r="J10" s="23">
        <f t="shared" si="0"/>
        <v>1.3854166666666667</v>
      </c>
    </row>
    <row r="11" spans="1:10" ht="15.75">
      <c r="A11" s="22">
        <v>9</v>
      </c>
      <c r="B11" s="9" t="s">
        <v>10</v>
      </c>
      <c r="C11" s="77">
        <v>14</v>
      </c>
      <c r="D11" s="77">
        <v>15</v>
      </c>
      <c r="E11" s="25">
        <v>1</v>
      </c>
      <c r="F11" s="28">
        <v>4</v>
      </c>
      <c r="G11" s="76">
        <v>2</v>
      </c>
      <c r="H11" s="76">
        <v>6</v>
      </c>
      <c r="I11" s="28">
        <v>96</v>
      </c>
      <c r="J11" s="23">
        <f t="shared" si="0"/>
        <v>1.3791666666666667</v>
      </c>
    </row>
    <row r="12" spans="1:10" ht="15.75">
      <c r="A12" s="22">
        <v>10</v>
      </c>
      <c r="B12" s="9" t="s">
        <v>16</v>
      </c>
      <c r="C12" s="110">
        <v>7</v>
      </c>
      <c r="D12" s="110">
        <v>8</v>
      </c>
      <c r="E12" s="25">
        <v>0</v>
      </c>
      <c r="F12" s="28">
        <v>4</v>
      </c>
      <c r="G12" s="76">
        <v>3</v>
      </c>
      <c r="H12" s="76">
        <v>1</v>
      </c>
      <c r="I12" s="28">
        <v>96</v>
      </c>
      <c r="J12" s="23">
        <f t="shared" si="0"/>
        <v>1.2604166666666667</v>
      </c>
    </row>
    <row r="13" spans="1:10" ht="31.5">
      <c r="A13" s="22">
        <v>11</v>
      </c>
      <c r="B13" s="9" t="s">
        <v>20</v>
      </c>
      <c r="C13" s="77">
        <v>16</v>
      </c>
      <c r="D13" s="77">
        <v>16</v>
      </c>
      <c r="E13" s="25">
        <v>0</v>
      </c>
      <c r="F13" s="28">
        <v>4</v>
      </c>
      <c r="G13" s="76">
        <v>3</v>
      </c>
      <c r="H13" s="76">
        <v>1</v>
      </c>
      <c r="I13" s="28">
        <v>96</v>
      </c>
      <c r="J13" s="23">
        <f t="shared" si="0"/>
        <v>1.1979166666666667</v>
      </c>
    </row>
    <row r="14" spans="1:10" ht="15.75">
      <c r="A14" s="22">
        <v>12</v>
      </c>
      <c r="B14" s="9" t="s">
        <v>17</v>
      </c>
      <c r="C14" s="77">
        <v>6</v>
      </c>
      <c r="D14" s="77">
        <v>7</v>
      </c>
      <c r="E14" s="25">
        <v>0</v>
      </c>
      <c r="F14" s="28">
        <v>4</v>
      </c>
      <c r="G14" s="76">
        <v>2</v>
      </c>
      <c r="H14" s="76">
        <v>2</v>
      </c>
      <c r="I14" s="28">
        <v>96</v>
      </c>
      <c r="J14" s="23">
        <f t="shared" si="0"/>
        <v>1.1636904761904761</v>
      </c>
    </row>
    <row r="15" spans="1:10" ht="15.75">
      <c r="A15" s="22">
        <v>13</v>
      </c>
      <c r="B15" s="9" t="s">
        <v>30</v>
      </c>
      <c r="C15" s="77">
        <v>6</v>
      </c>
      <c r="D15" s="77">
        <v>7</v>
      </c>
      <c r="E15" s="25">
        <v>0</v>
      </c>
      <c r="F15" s="28">
        <v>4</v>
      </c>
      <c r="G15" s="76">
        <v>2</v>
      </c>
      <c r="H15" s="76">
        <v>1</v>
      </c>
      <c r="I15" s="28">
        <v>96</v>
      </c>
      <c r="J15" s="23">
        <f t="shared" si="0"/>
        <v>1.1532738095238095</v>
      </c>
    </row>
    <row r="16" spans="1:10" ht="15.75">
      <c r="A16" s="22">
        <v>14</v>
      </c>
      <c r="B16" s="9" t="s">
        <v>9</v>
      </c>
      <c r="C16" s="77">
        <v>11</v>
      </c>
      <c r="D16" s="77">
        <v>11</v>
      </c>
      <c r="E16" s="25">
        <v>0</v>
      </c>
      <c r="F16" s="28">
        <v>4</v>
      </c>
      <c r="G16" s="76">
        <v>1</v>
      </c>
      <c r="H16" s="76">
        <v>5</v>
      </c>
      <c r="I16" s="28">
        <v>96</v>
      </c>
      <c r="J16" s="23">
        <f t="shared" si="0"/>
        <v>1.1429924242424241</v>
      </c>
    </row>
    <row r="17" spans="1:10" ht="15.75">
      <c r="A17" s="22">
        <v>15</v>
      </c>
      <c r="B17" s="9" t="s">
        <v>6</v>
      </c>
      <c r="C17" s="77">
        <v>10</v>
      </c>
      <c r="D17" s="77">
        <v>10</v>
      </c>
      <c r="E17" s="25">
        <v>0</v>
      </c>
      <c r="F17" s="28">
        <v>4</v>
      </c>
      <c r="G17" s="76">
        <v>1</v>
      </c>
      <c r="H17" s="76">
        <v>1</v>
      </c>
      <c r="I17" s="28">
        <v>96</v>
      </c>
      <c r="J17" s="23">
        <f t="shared" si="0"/>
        <v>1.1104166666666668</v>
      </c>
    </row>
    <row r="18" spans="1:10" ht="31.5">
      <c r="A18" s="22">
        <v>16</v>
      </c>
      <c r="B18" s="9" t="s">
        <v>7</v>
      </c>
      <c r="C18" s="77">
        <v>8</v>
      </c>
      <c r="D18" s="77">
        <v>10</v>
      </c>
      <c r="E18" s="25">
        <v>0</v>
      </c>
      <c r="F18" s="28">
        <v>4</v>
      </c>
      <c r="G18" s="76">
        <v>3</v>
      </c>
      <c r="H18" s="76">
        <v>1</v>
      </c>
      <c r="I18" s="28">
        <v>96</v>
      </c>
      <c r="J18" s="23">
        <f t="shared" si="0"/>
        <v>1.1104166666666668</v>
      </c>
    </row>
    <row r="19" spans="1:10" ht="15.75">
      <c r="A19" s="22">
        <v>17</v>
      </c>
      <c r="B19" s="9" t="s">
        <v>113</v>
      </c>
      <c r="C19" s="77">
        <v>5</v>
      </c>
      <c r="D19" s="77">
        <v>6</v>
      </c>
      <c r="E19" s="25">
        <v>1</v>
      </c>
      <c r="F19" s="28">
        <v>4</v>
      </c>
      <c r="G19" s="76">
        <v>0</v>
      </c>
      <c r="H19" s="76">
        <v>0</v>
      </c>
      <c r="I19" s="28">
        <v>96</v>
      </c>
      <c r="J19" s="23">
        <f t="shared" si="0"/>
        <v>1.0833333333333335</v>
      </c>
    </row>
    <row r="20" spans="1:10" ht="16.5" customHeight="1">
      <c r="A20" s="22">
        <v>18</v>
      </c>
      <c r="B20" s="9" t="s">
        <v>28</v>
      </c>
      <c r="C20" s="77">
        <v>10</v>
      </c>
      <c r="D20" s="77">
        <v>13</v>
      </c>
      <c r="E20" s="25">
        <v>0</v>
      </c>
      <c r="F20" s="28">
        <v>4</v>
      </c>
      <c r="G20" s="76">
        <v>3</v>
      </c>
      <c r="H20" s="76">
        <v>4</v>
      </c>
      <c r="I20" s="28">
        <v>96</v>
      </c>
      <c r="J20" s="23">
        <f t="shared" si="0"/>
        <v>1.0416666666666667</v>
      </c>
    </row>
    <row r="21" spans="1:10" ht="18" customHeight="1">
      <c r="A21" s="22">
        <v>19</v>
      </c>
      <c r="B21" s="9" t="s">
        <v>15</v>
      </c>
      <c r="C21" s="77">
        <v>11</v>
      </c>
      <c r="D21" s="77">
        <v>12</v>
      </c>
      <c r="E21" s="25">
        <v>0</v>
      </c>
      <c r="F21" s="28">
        <v>4</v>
      </c>
      <c r="G21" s="76">
        <v>1</v>
      </c>
      <c r="H21" s="76">
        <v>2</v>
      </c>
      <c r="I21" s="28">
        <v>96</v>
      </c>
      <c r="J21" s="23">
        <f t="shared" si="0"/>
        <v>1.0208333333333333</v>
      </c>
    </row>
    <row r="22" spans="1:10" ht="29.25" customHeight="1">
      <c r="A22" s="22">
        <v>20</v>
      </c>
      <c r="B22" s="9" t="s">
        <v>5</v>
      </c>
      <c r="C22" s="77">
        <v>10</v>
      </c>
      <c r="D22" s="77">
        <v>15</v>
      </c>
      <c r="E22" s="25">
        <v>1</v>
      </c>
      <c r="F22" s="28">
        <v>4</v>
      </c>
      <c r="G22" s="76">
        <v>1</v>
      </c>
      <c r="H22" s="76">
        <v>1</v>
      </c>
      <c r="I22" s="28">
        <v>96</v>
      </c>
      <c r="J22" s="23">
        <f t="shared" si="0"/>
        <v>0.99374999999999991</v>
      </c>
    </row>
    <row r="23" spans="1:10" ht="15.75">
      <c r="A23" s="22">
        <v>21</v>
      </c>
      <c r="B23" s="9" t="s">
        <v>14</v>
      </c>
      <c r="C23" s="77">
        <v>21</v>
      </c>
      <c r="D23" s="77">
        <v>26</v>
      </c>
      <c r="E23" s="25">
        <v>0</v>
      </c>
      <c r="F23" s="28">
        <v>4</v>
      </c>
      <c r="G23" s="76">
        <v>4</v>
      </c>
      <c r="H23" s="76">
        <v>2</v>
      </c>
      <c r="I23" s="28">
        <v>96</v>
      </c>
      <c r="J23" s="23">
        <f t="shared" si="0"/>
        <v>0.98237179487179493</v>
      </c>
    </row>
    <row r="24" spans="1:10" ht="14.25" customHeight="1">
      <c r="A24" s="22">
        <v>22</v>
      </c>
      <c r="B24" s="9" t="s">
        <v>22</v>
      </c>
      <c r="C24" s="77">
        <v>8</v>
      </c>
      <c r="D24" s="77">
        <v>12</v>
      </c>
      <c r="E24" s="25">
        <v>0</v>
      </c>
      <c r="F24" s="28">
        <v>4</v>
      </c>
      <c r="G24" s="76">
        <v>3</v>
      </c>
      <c r="H24" s="76">
        <v>3</v>
      </c>
      <c r="I24" s="28">
        <v>96</v>
      </c>
      <c r="J24" s="23">
        <f t="shared" si="0"/>
        <v>0.94791666666666663</v>
      </c>
    </row>
    <row r="25" spans="1:10" ht="20.25" customHeight="1">
      <c r="A25" s="22">
        <v>23</v>
      </c>
      <c r="B25" s="139" t="s">
        <v>133</v>
      </c>
      <c r="C25" s="77">
        <v>19</v>
      </c>
      <c r="D25" s="77">
        <v>23</v>
      </c>
      <c r="E25" s="25">
        <v>0</v>
      </c>
      <c r="F25" s="28">
        <v>4</v>
      </c>
      <c r="G25" s="76">
        <v>2</v>
      </c>
      <c r="H25" s="76">
        <v>3</v>
      </c>
      <c r="I25" s="28">
        <v>96</v>
      </c>
      <c r="J25" s="23">
        <f t="shared" si="0"/>
        <v>0.94429347826086962</v>
      </c>
    </row>
    <row r="26" spans="1:10" ht="15.75">
      <c r="A26" s="22">
        <v>24</v>
      </c>
      <c r="B26" s="9" t="s">
        <v>24</v>
      </c>
      <c r="C26" s="77">
        <v>7</v>
      </c>
      <c r="D26" s="77">
        <v>10</v>
      </c>
      <c r="E26" s="25">
        <v>0</v>
      </c>
      <c r="F26" s="28">
        <v>4</v>
      </c>
      <c r="G26" s="76">
        <v>2</v>
      </c>
      <c r="H26" s="76">
        <v>1</v>
      </c>
      <c r="I26" s="28">
        <v>96</v>
      </c>
      <c r="J26" s="23">
        <f t="shared" si="0"/>
        <v>0.91041666666666654</v>
      </c>
    </row>
    <row r="27" spans="1:10" ht="15.75">
      <c r="A27" s="22">
        <v>25</v>
      </c>
      <c r="B27" s="9" t="s">
        <v>12</v>
      </c>
      <c r="C27" s="77">
        <v>14</v>
      </c>
      <c r="D27" s="77">
        <v>19</v>
      </c>
      <c r="E27" s="25">
        <v>0</v>
      </c>
      <c r="F27" s="28">
        <v>4</v>
      </c>
      <c r="G27" s="76">
        <v>2</v>
      </c>
      <c r="H27" s="76">
        <v>3</v>
      </c>
      <c r="I27" s="28">
        <v>96</v>
      </c>
      <c r="J27" s="23">
        <f t="shared" si="0"/>
        <v>0.87335526315789469</v>
      </c>
    </row>
    <row r="28" spans="1:10" ht="14.25" customHeight="1">
      <c r="A28" s="22">
        <v>26</v>
      </c>
      <c r="B28" s="9" t="s">
        <v>23</v>
      </c>
      <c r="C28" s="77">
        <v>5</v>
      </c>
      <c r="D28" s="77">
        <v>7</v>
      </c>
      <c r="E28" s="25">
        <v>0</v>
      </c>
      <c r="F28" s="28">
        <v>4</v>
      </c>
      <c r="G28" s="76">
        <v>1</v>
      </c>
      <c r="H28" s="76">
        <v>1</v>
      </c>
      <c r="I28" s="28">
        <v>96</v>
      </c>
      <c r="J28" s="23">
        <f t="shared" si="0"/>
        <v>0.86755952380952384</v>
      </c>
    </row>
    <row r="29" spans="1:10" ht="13.5" customHeight="1">
      <c r="A29" s="22">
        <v>27</v>
      </c>
      <c r="B29" s="9" t="s">
        <v>11</v>
      </c>
      <c r="C29" s="77">
        <v>8</v>
      </c>
      <c r="D29" s="77">
        <v>10</v>
      </c>
      <c r="E29" s="25">
        <v>0</v>
      </c>
      <c r="F29" s="28">
        <v>4</v>
      </c>
      <c r="G29" s="76">
        <v>0</v>
      </c>
      <c r="H29" s="76">
        <v>1</v>
      </c>
      <c r="I29" s="28">
        <v>96</v>
      </c>
      <c r="J29" s="23">
        <f t="shared" si="0"/>
        <v>0.81041666666666667</v>
      </c>
    </row>
    <row r="30" spans="1:10" ht="15.75">
      <c r="A30" s="22">
        <v>28</v>
      </c>
      <c r="B30" s="9" t="s">
        <v>27</v>
      </c>
      <c r="C30" s="77">
        <v>6</v>
      </c>
      <c r="D30" s="77">
        <v>8</v>
      </c>
      <c r="E30" s="25">
        <v>0</v>
      </c>
      <c r="F30" s="28">
        <v>4</v>
      </c>
      <c r="G30" s="76">
        <v>0</v>
      </c>
      <c r="H30" s="76">
        <v>4</v>
      </c>
      <c r="I30" s="28">
        <v>96</v>
      </c>
      <c r="J30" s="23">
        <f t="shared" si="0"/>
        <v>0.79166666666666663</v>
      </c>
    </row>
    <row r="31" spans="1:10" ht="17.25" customHeight="1">
      <c r="A31" s="22">
        <v>29</v>
      </c>
      <c r="B31" s="9" t="s">
        <v>18</v>
      </c>
      <c r="C31" s="77">
        <v>17</v>
      </c>
      <c r="D31" s="77">
        <v>23</v>
      </c>
      <c r="E31" s="25">
        <v>0</v>
      </c>
      <c r="F31" s="28">
        <v>4</v>
      </c>
      <c r="G31" s="76">
        <v>0</v>
      </c>
      <c r="H31" s="76">
        <v>0</v>
      </c>
      <c r="I31" s="28">
        <v>96</v>
      </c>
      <c r="J31" s="23">
        <f t="shared" si="0"/>
        <v>0.73913043478260865</v>
      </c>
    </row>
    <row r="32" spans="1:10" ht="15.75">
      <c r="A32" s="22">
        <v>30</v>
      </c>
      <c r="B32" s="9" t="s">
        <v>31</v>
      </c>
      <c r="C32" s="77">
        <v>5</v>
      </c>
      <c r="D32" s="77">
        <v>10</v>
      </c>
      <c r="E32" s="25">
        <v>0</v>
      </c>
      <c r="F32" s="28">
        <v>4</v>
      </c>
      <c r="G32" s="76">
        <v>1</v>
      </c>
      <c r="H32" s="76">
        <v>1</v>
      </c>
      <c r="I32" s="28">
        <v>96</v>
      </c>
      <c r="J32" s="23">
        <f t="shared" si="0"/>
        <v>0.61041666666666661</v>
      </c>
    </row>
    <row r="33" spans="1:10" ht="15.75">
      <c r="A33" s="22">
        <v>31</v>
      </c>
      <c r="B33" s="9" t="s">
        <v>32</v>
      </c>
      <c r="C33" s="77">
        <v>1</v>
      </c>
      <c r="D33" s="77">
        <v>5</v>
      </c>
      <c r="E33" s="25">
        <v>0</v>
      </c>
      <c r="F33" s="28">
        <v>4</v>
      </c>
      <c r="G33" s="76">
        <v>0</v>
      </c>
      <c r="H33" s="76">
        <v>0</v>
      </c>
      <c r="I33" s="28">
        <v>96</v>
      </c>
      <c r="J33" s="23">
        <f t="shared" si="0"/>
        <v>0.2</v>
      </c>
    </row>
    <row r="34" spans="1:10" ht="15.75">
      <c r="A34" s="20"/>
      <c r="B34" s="19" t="s">
        <v>49</v>
      </c>
      <c r="C34" s="85">
        <f>SUM(C3:C33)</f>
        <v>334</v>
      </c>
      <c r="D34" s="85">
        <f>SUM(D3:D33)</f>
        <v>413</v>
      </c>
      <c r="E34" s="99">
        <f>SUM(E3:E33)</f>
        <v>4</v>
      </c>
      <c r="F34" s="98"/>
      <c r="G34" s="31">
        <f>SUM(G3:G33)</f>
        <v>113</v>
      </c>
      <c r="H34" s="31">
        <f>SUM(H3:H33)</f>
        <v>96</v>
      </c>
      <c r="I34" s="15"/>
      <c r="J34" s="15"/>
    </row>
    <row r="35" spans="1:10" ht="15.75">
      <c r="A35" s="135"/>
      <c r="B35" s="128"/>
      <c r="C35" s="126"/>
      <c r="D35" s="126"/>
      <c r="E35" s="124"/>
      <c r="F35" s="136"/>
      <c r="G35" s="137"/>
      <c r="H35" s="137"/>
      <c r="I35" s="132"/>
      <c r="J35" s="132"/>
    </row>
    <row r="36" spans="1:10" ht="40.5">
      <c r="A36" s="112"/>
      <c r="B36" s="113" t="s">
        <v>40</v>
      </c>
      <c r="C36" s="114"/>
      <c r="D36" s="114"/>
      <c r="E36" s="114"/>
      <c r="F36" s="112"/>
      <c r="G36" s="112"/>
      <c r="H36" s="112"/>
      <c r="I36" s="112"/>
      <c r="J36" s="112"/>
    </row>
    <row r="37" spans="1:10" ht="237" customHeight="1">
      <c r="A37" s="43" t="s">
        <v>137</v>
      </c>
      <c r="B37" s="57" t="s">
        <v>130</v>
      </c>
      <c r="C37" s="56" t="s">
        <v>71</v>
      </c>
      <c r="D37" s="56" t="s">
        <v>72</v>
      </c>
      <c r="E37" s="56" t="s">
        <v>76</v>
      </c>
      <c r="F37" s="56" t="s">
        <v>73</v>
      </c>
      <c r="G37" s="56" t="s">
        <v>74</v>
      </c>
      <c r="H37" s="56" t="s">
        <v>75</v>
      </c>
      <c r="I37" s="56" t="s">
        <v>77</v>
      </c>
      <c r="J37" s="56" t="s">
        <v>131</v>
      </c>
    </row>
    <row r="38" spans="1:10" ht="15.75">
      <c r="A38" s="43">
        <v>1</v>
      </c>
      <c r="B38" s="3" t="s">
        <v>33</v>
      </c>
      <c r="C38" s="25">
        <v>83</v>
      </c>
      <c r="D38" s="25">
        <v>94</v>
      </c>
      <c r="E38" s="25">
        <v>3</v>
      </c>
      <c r="F38" s="28">
        <v>4</v>
      </c>
      <c r="G38" s="28">
        <v>21</v>
      </c>
      <c r="H38" s="28">
        <v>32</v>
      </c>
      <c r="I38" s="28">
        <v>95</v>
      </c>
      <c r="J38" s="23">
        <f>(C38/D38)+(E38/F38)+(G38/D38)+(H38/I38)</f>
        <v>2.1932250839865621</v>
      </c>
    </row>
    <row r="39" spans="1:10" ht="31.5">
      <c r="A39" s="43">
        <v>2</v>
      </c>
      <c r="B39" s="3" t="s">
        <v>35</v>
      </c>
      <c r="C39" s="25">
        <v>68</v>
      </c>
      <c r="D39" s="25">
        <v>88</v>
      </c>
      <c r="E39" s="25">
        <v>1</v>
      </c>
      <c r="F39" s="28">
        <v>4</v>
      </c>
      <c r="G39" s="28">
        <v>26</v>
      </c>
      <c r="H39" s="28">
        <v>21</v>
      </c>
      <c r="I39" s="28">
        <v>95</v>
      </c>
      <c r="J39" s="23">
        <f>(C39/D39)+(E39/F39)+(G39/D39)+(H39/I39)</f>
        <v>1.5392344497607655</v>
      </c>
    </row>
    <row r="40" spans="1:10" ht="31.5">
      <c r="A40" s="43">
        <v>3</v>
      </c>
      <c r="B40" s="3" t="s">
        <v>36</v>
      </c>
      <c r="C40" s="25">
        <v>84</v>
      </c>
      <c r="D40" s="25">
        <v>107</v>
      </c>
      <c r="E40" s="25">
        <v>0</v>
      </c>
      <c r="F40" s="28">
        <v>4</v>
      </c>
      <c r="G40" s="28">
        <v>35</v>
      </c>
      <c r="H40" s="28">
        <v>23</v>
      </c>
      <c r="I40" s="28">
        <v>95</v>
      </c>
      <c r="J40" s="23">
        <f>(C40/D40)+(E40/F40)+(G40/D40)+(H40/I40)</f>
        <v>1.3542547958681752</v>
      </c>
    </row>
    <row r="41" spans="1:10" ht="15.75">
      <c r="A41" s="43">
        <v>4</v>
      </c>
      <c r="B41" s="3" t="s">
        <v>34</v>
      </c>
      <c r="C41" s="25">
        <v>99</v>
      </c>
      <c r="D41" s="25">
        <v>124</v>
      </c>
      <c r="E41" s="25">
        <v>0</v>
      </c>
      <c r="F41" s="28">
        <v>4</v>
      </c>
      <c r="G41" s="28">
        <v>31</v>
      </c>
      <c r="H41" s="28">
        <v>19</v>
      </c>
      <c r="I41" s="28">
        <v>95</v>
      </c>
      <c r="J41" s="23">
        <f>(C41/D41)+(E41/F41)+(G41/D41)+(H41/I41)</f>
        <v>1.2483870967741935</v>
      </c>
    </row>
    <row r="42" spans="1:10" ht="15.75">
      <c r="A42" s="20"/>
      <c r="B42" s="20"/>
      <c r="C42" s="150">
        <f>SUM(C38:C41)</f>
        <v>334</v>
      </c>
      <c r="D42" s="150">
        <f>SUM(D38:D41)</f>
        <v>413</v>
      </c>
      <c r="E42" s="105">
        <f>SUM(E38:E41)</f>
        <v>4</v>
      </c>
      <c r="F42" s="98"/>
      <c r="G42" s="31">
        <f>SUM(G38:G41)</f>
        <v>113</v>
      </c>
      <c r="H42" s="31">
        <f>SUM(H38:H41)</f>
        <v>95</v>
      </c>
      <c r="I42" s="20"/>
      <c r="J42" s="20"/>
    </row>
    <row r="43" spans="1:10" ht="15.75">
      <c r="C43" s="5"/>
    </row>
    <row r="44" spans="1:10" ht="15.75">
      <c r="C44" s="5"/>
    </row>
    <row r="45" spans="1:10">
      <c r="B45" s="147"/>
      <c r="C45" s="146"/>
    </row>
    <row r="46" spans="1:10">
      <c r="B46" s="147"/>
      <c r="C46" s="146"/>
    </row>
    <row r="47" spans="1:10">
      <c r="B47" s="147"/>
      <c r="C47" s="146"/>
    </row>
    <row r="48" spans="1:10">
      <c r="B48" s="147"/>
      <c r="C48" s="146"/>
    </row>
    <row r="49" spans="2:2">
      <c r="B49" s="147"/>
    </row>
  </sheetData>
  <sortState ref="B3:J33">
    <sortCondition descending="1" ref="J3:J33"/>
  </sortState>
  <phoneticPr fontId="0" type="noConversion"/>
  <pageMargins left="0.41" right="0.27" top="0.27" bottom="0.09" header="0.2" footer="0.15"/>
  <pageSetup paperSize="9" scale="68" orientation="landscape" verticalDpi="300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22" zoomScale="85" zoomScaleNormal="85" workbookViewId="0"/>
  </sheetViews>
  <sheetFormatPr defaultRowHeight="12.75"/>
  <cols>
    <col min="1" max="1" width="6.7109375" customWidth="1"/>
    <col min="2" max="2" width="51.140625" customWidth="1"/>
    <col min="3" max="3" width="14.85546875" customWidth="1"/>
    <col min="4" max="4" width="20.5703125" customWidth="1"/>
    <col min="5" max="5" width="20.42578125" customWidth="1"/>
    <col min="6" max="6" width="24.85546875" bestFit="1" customWidth="1"/>
    <col min="7" max="7" width="13" customWidth="1"/>
    <col min="8" max="8" width="13.42578125" customWidth="1"/>
  </cols>
  <sheetData>
    <row r="1" spans="1:8" ht="43.5" customHeight="1">
      <c r="A1" s="2"/>
      <c r="B1" s="60" t="s">
        <v>127</v>
      </c>
      <c r="C1" s="2"/>
      <c r="D1" s="2"/>
      <c r="E1" s="2"/>
      <c r="F1" s="2"/>
      <c r="G1" s="2"/>
      <c r="H1" s="2"/>
    </row>
    <row r="2" spans="1:8" ht="130.5" customHeight="1">
      <c r="A2" s="43" t="s">
        <v>144</v>
      </c>
      <c r="B2" s="61" t="s">
        <v>0</v>
      </c>
      <c r="C2" s="61" t="s">
        <v>66</v>
      </c>
      <c r="D2" s="61" t="s">
        <v>80</v>
      </c>
      <c r="E2" s="61" t="s">
        <v>85</v>
      </c>
      <c r="F2" s="61" t="s">
        <v>108</v>
      </c>
      <c r="G2" s="61" t="s">
        <v>96</v>
      </c>
      <c r="H2" s="62" t="s">
        <v>97</v>
      </c>
    </row>
    <row r="3" spans="1:8" ht="19.5" customHeight="1">
      <c r="A3" s="43">
        <v>1</v>
      </c>
      <c r="B3" s="3" t="s">
        <v>11</v>
      </c>
      <c r="C3" s="23">
        <v>0.13</v>
      </c>
      <c r="D3" s="35">
        <v>0.24</v>
      </c>
      <c r="E3" s="23">
        <v>0.6</v>
      </c>
      <c r="F3" s="23">
        <v>0.38</v>
      </c>
      <c r="G3" s="23">
        <v>0.28999999999999998</v>
      </c>
      <c r="H3" s="35">
        <f t="shared" ref="H3:H27" si="0">C3+D3+E3+F3+G3</f>
        <v>1.6400000000000001</v>
      </c>
    </row>
    <row r="4" spans="1:8" ht="17.25" customHeight="1">
      <c r="A4" s="43">
        <v>2</v>
      </c>
      <c r="B4" s="3" t="s">
        <v>133</v>
      </c>
      <c r="C4" s="23">
        <v>0.13</v>
      </c>
      <c r="D4" s="35">
        <v>0.15</v>
      </c>
      <c r="E4" s="23">
        <v>0.56999999999999995</v>
      </c>
      <c r="F4" s="23">
        <v>0.27</v>
      </c>
      <c r="G4" s="23">
        <v>0.26</v>
      </c>
      <c r="H4" s="35">
        <f t="shared" si="0"/>
        <v>1.3800000000000001</v>
      </c>
    </row>
    <row r="5" spans="1:8" ht="16.5" customHeight="1">
      <c r="A5" s="43">
        <v>3</v>
      </c>
      <c r="B5" s="3" t="s">
        <v>9</v>
      </c>
      <c r="C5" s="23">
        <v>0.21</v>
      </c>
      <c r="D5" s="35">
        <v>0.03</v>
      </c>
      <c r="E5" s="23">
        <v>0.44</v>
      </c>
      <c r="F5" s="23">
        <v>0.39</v>
      </c>
      <c r="G5" s="23">
        <v>0.27</v>
      </c>
      <c r="H5" s="35">
        <f t="shared" si="0"/>
        <v>1.3399999999999999</v>
      </c>
    </row>
    <row r="6" spans="1:8" ht="16.5" customHeight="1">
      <c r="A6" s="43">
        <v>4</v>
      </c>
      <c r="B6" s="3" t="s">
        <v>28</v>
      </c>
      <c r="C6" s="23">
        <v>0.12</v>
      </c>
      <c r="D6" s="35">
        <v>0.15</v>
      </c>
      <c r="E6" s="23">
        <v>0.6</v>
      </c>
      <c r="F6" s="23">
        <v>0.41</v>
      </c>
      <c r="G6" s="23">
        <v>0.01</v>
      </c>
      <c r="H6" s="35">
        <f t="shared" si="0"/>
        <v>1.29</v>
      </c>
    </row>
    <row r="7" spans="1:8" ht="16.5" customHeight="1">
      <c r="A7" s="43">
        <v>5</v>
      </c>
      <c r="B7" s="3" t="s">
        <v>14</v>
      </c>
      <c r="C7" s="23">
        <v>0.14000000000000001</v>
      </c>
      <c r="D7" s="35">
        <v>0.28000000000000003</v>
      </c>
      <c r="E7" s="23">
        <v>0.4</v>
      </c>
      <c r="F7" s="23">
        <v>0.17</v>
      </c>
      <c r="G7" s="23">
        <v>0.25</v>
      </c>
      <c r="H7" s="35">
        <f t="shared" si="0"/>
        <v>1.2400000000000002</v>
      </c>
    </row>
    <row r="8" spans="1:8" ht="18.75" customHeight="1">
      <c r="A8" s="43">
        <v>6</v>
      </c>
      <c r="B8" s="3" t="s">
        <v>25</v>
      </c>
      <c r="C8" s="23">
        <v>0.12</v>
      </c>
      <c r="D8" s="35">
        <v>0.34</v>
      </c>
      <c r="E8" s="23">
        <v>0.43</v>
      </c>
      <c r="F8" s="23">
        <v>0.27</v>
      </c>
      <c r="G8" s="23">
        <v>0.05</v>
      </c>
      <c r="H8" s="35">
        <f t="shared" si="0"/>
        <v>1.2100000000000002</v>
      </c>
    </row>
    <row r="9" spans="1:8" ht="16.5" customHeight="1">
      <c r="A9" s="43">
        <v>7</v>
      </c>
      <c r="B9" s="3" t="s">
        <v>19</v>
      </c>
      <c r="C9" s="35">
        <v>0.14000000000000001</v>
      </c>
      <c r="D9" s="35">
        <v>0.24</v>
      </c>
      <c r="E9" s="35">
        <v>0.51</v>
      </c>
      <c r="F9" s="35">
        <v>0.28000000000000003</v>
      </c>
      <c r="G9" s="35">
        <v>0.04</v>
      </c>
      <c r="H9" s="35">
        <f t="shared" si="0"/>
        <v>1.21</v>
      </c>
    </row>
    <row r="10" spans="1:8" ht="16.5" customHeight="1">
      <c r="A10" s="43">
        <v>8</v>
      </c>
      <c r="B10" s="3" t="s">
        <v>31</v>
      </c>
      <c r="C10" s="23">
        <v>0.36</v>
      </c>
      <c r="D10" s="35">
        <v>0.19</v>
      </c>
      <c r="E10" s="23">
        <v>0.56999999999999995</v>
      </c>
      <c r="F10" s="23">
        <v>0</v>
      </c>
      <c r="G10" s="23">
        <v>0.05</v>
      </c>
      <c r="H10" s="35">
        <f t="shared" si="0"/>
        <v>1.1700000000000002</v>
      </c>
    </row>
    <row r="11" spans="1:8" ht="16.5" customHeight="1">
      <c r="A11" s="43">
        <v>9</v>
      </c>
      <c r="B11" s="3" t="s">
        <v>13</v>
      </c>
      <c r="C11" s="23">
        <v>0.16</v>
      </c>
      <c r="D11" s="35">
        <v>0.22</v>
      </c>
      <c r="E11" s="23">
        <v>0.44</v>
      </c>
      <c r="F11" s="23">
        <v>0.2</v>
      </c>
      <c r="G11" s="23">
        <v>7.0000000000000007E-2</v>
      </c>
      <c r="H11" s="35">
        <f t="shared" si="0"/>
        <v>1.0900000000000001</v>
      </c>
    </row>
    <row r="12" spans="1:8" ht="33.75" customHeight="1">
      <c r="A12" s="43">
        <v>10</v>
      </c>
      <c r="B12" s="3" t="s">
        <v>7</v>
      </c>
      <c r="C12" s="23">
        <v>0.27</v>
      </c>
      <c r="D12" s="35">
        <v>0.1</v>
      </c>
      <c r="E12" s="23">
        <v>0.39</v>
      </c>
      <c r="F12" s="23">
        <v>0.14000000000000001</v>
      </c>
      <c r="G12" s="23">
        <v>0.13</v>
      </c>
      <c r="H12" s="35">
        <f t="shared" si="0"/>
        <v>1.03</v>
      </c>
    </row>
    <row r="13" spans="1:8" ht="16.5" customHeight="1">
      <c r="A13" s="43">
        <v>11</v>
      </c>
      <c r="B13" s="3" t="s">
        <v>8</v>
      </c>
      <c r="C13" s="23">
        <v>0.09</v>
      </c>
      <c r="D13" s="35">
        <v>0.03</v>
      </c>
      <c r="E13" s="23">
        <v>0.31</v>
      </c>
      <c r="F13" s="23">
        <v>0.28000000000000003</v>
      </c>
      <c r="G13" s="23">
        <v>0.28000000000000003</v>
      </c>
      <c r="H13" s="35">
        <f t="shared" si="0"/>
        <v>0.99</v>
      </c>
    </row>
    <row r="14" spans="1:8" ht="16.5" customHeight="1">
      <c r="A14" s="43">
        <v>12</v>
      </c>
      <c r="B14" s="3" t="s">
        <v>6</v>
      </c>
      <c r="C14" s="23">
        <v>0.04</v>
      </c>
      <c r="D14" s="35">
        <v>0.02</v>
      </c>
      <c r="E14" s="23">
        <v>0.45</v>
      </c>
      <c r="F14" s="23">
        <v>0.41</v>
      </c>
      <c r="G14" s="23">
        <v>0.06</v>
      </c>
      <c r="H14" s="35">
        <f t="shared" si="0"/>
        <v>0.98</v>
      </c>
    </row>
    <row r="15" spans="1:8" ht="16.5" customHeight="1">
      <c r="A15" s="43">
        <v>13</v>
      </c>
      <c r="B15" s="3" t="s">
        <v>26</v>
      </c>
      <c r="C15" s="23">
        <v>0.17</v>
      </c>
      <c r="D15" s="35">
        <v>0.26</v>
      </c>
      <c r="E15" s="23">
        <v>0.37</v>
      </c>
      <c r="F15" s="23">
        <v>0.11</v>
      </c>
      <c r="G15" s="23">
        <v>0.04</v>
      </c>
      <c r="H15" s="35">
        <f t="shared" si="0"/>
        <v>0.95000000000000007</v>
      </c>
    </row>
    <row r="16" spans="1:8" ht="15.75">
      <c r="A16" s="43">
        <v>14</v>
      </c>
      <c r="B16" s="3" t="s">
        <v>12</v>
      </c>
      <c r="C16" s="23">
        <v>0.14000000000000001</v>
      </c>
      <c r="D16" s="35">
        <v>0.17</v>
      </c>
      <c r="E16" s="23">
        <v>0.4</v>
      </c>
      <c r="F16" s="23">
        <v>0.09</v>
      </c>
      <c r="G16" s="23">
        <v>0.14000000000000001</v>
      </c>
      <c r="H16" s="35">
        <f t="shared" si="0"/>
        <v>0.94000000000000006</v>
      </c>
    </row>
    <row r="17" spans="1:8" ht="16.5" customHeight="1">
      <c r="A17" s="43">
        <v>15</v>
      </c>
      <c r="B17" s="3" t="s">
        <v>29</v>
      </c>
      <c r="C17" s="23">
        <v>0.23</v>
      </c>
      <c r="D17" s="35">
        <v>0.13</v>
      </c>
      <c r="E17" s="23">
        <v>0.43</v>
      </c>
      <c r="F17" s="23">
        <v>0.06</v>
      </c>
      <c r="G17" s="23">
        <v>0.05</v>
      </c>
      <c r="H17" s="35">
        <f t="shared" si="0"/>
        <v>0.90000000000000013</v>
      </c>
    </row>
    <row r="18" spans="1:8" ht="30" customHeight="1">
      <c r="A18" s="43">
        <v>16</v>
      </c>
      <c r="B18" s="3" t="s">
        <v>20</v>
      </c>
      <c r="C18" s="23">
        <v>0.18</v>
      </c>
      <c r="D18" s="35">
        <v>0.12</v>
      </c>
      <c r="E18" s="23">
        <v>0.42</v>
      </c>
      <c r="F18" s="23">
        <v>0.09</v>
      </c>
      <c r="G18" s="23">
        <v>7.0000000000000007E-2</v>
      </c>
      <c r="H18" s="35">
        <f t="shared" si="0"/>
        <v>0.87999999999999989</v>
      </c>
    </row>
    <row r="19" spans="1:8" ht="15.75">
      <c r="A19" s="43">
        <v>17</v>
      </c>
      <c r="B19" s="3" t="s">
        <v>21</v>
      </c>
      <c r="C19" s="23">
        <v>0.12</v>
      </c>
      <c r="D19" s="35">
        <v>0.03</v>
      </c>
      <c r="E19" s="23">
        <v>0.3</v>
      </c>
      <c r="F19" s="23">
        <v>0.24</v>
      </c>
      <c r="G19" s="23">
        <v>0.08</v>
      </c>
      <c r="H19" s="35">
        <f t="shared" si="0"/>
        <v>0.76999999999999991</v>
      </c>
    </row>
    <row r="20" spans="1:8" ht="16.5" customHeight="1">
      <c r="A20" s="43">
        <v>18</v>
      </c>
      <c r="B20" s="9" t="s">
        <v>10</v>
      </c>
      <c r="C20" s="23">
        <v>0.09</v>
      </c>
      <c r="D20" s="35">
        <v>0.03</v>
      </c>
      <c r="E20" s="23">
        <v>0.28999999999999998</v>
      </c>
      <c r="F20" s="23">
        <v>0.26</v>
      </c>
      <c r="G20" s="23">
        <v>7.0000000000000007E-2</v>
      </c>
      <c r="H20" s="35">
        <f t="shared" si="0"/>
        <v>0.74</v>
      </c>
    </row>
    <row r="21" spans="1:8" ht="20.25" customHeight="1">
      <c r="A21" s="43">
        <v>19</v>
      </c>
      <c r="B21" s="3" t="s">
        <v>112</v>
      </c>
      <c r="C21" s="23">
        <v>7.0000000000000007E-2</v>
      </c>
      <c r="D21" s="35">
        <v>0.01</v>
      </c>
      <c r="E21" s="23">
        <v>0.28000000000000003</v>
      </c>
      <c r="F21" s="23">
        <v>0.25</v>
      </c>
      <c r="G21" s="23">
        <v>0.09</v>
      </c>
      <c r="H21" s="35">
        <f t="shared" si="0"/>
        <v>0.70000000000000007</v>
      </c>
    </row>
    <row r="22" spans="1:8" ht="16.5" customHeight="1">
      <c r="A22" s="43">
        <v>20</v>
      </c>
      <c r="B22" s="3" t="s">
        <v>27</v>
      </c>
      <c r="C22" s="23">
        <v>0.11</v>
      </c>
      <c r="D22" s="35">
        <v>0.01</v>
      </c>
      <c r="E22" s="23">
        <v>0.26</v>
      </c>
      <c r="F22" s="23">
        <v>0.24</v>
      </c>
      <c r="G22" s="23">
        <v>0.04</v>
      </c>
      <c r="H22" s="35">
        <f t="shared" si="0"/>
        <v>0.66</v>
      </c>
    </row>
    <row r="23" spans="1:8" ht="16.5" customHeight="1">
      <c r="A23" s="43">
        <v>21</v>
      </c>
      <c r="B23" s="3" t="s">
        <v>15</v>
      </c>
      <c r="C23" s="23">
        <v>0.26</v>
      </c>
      <c r="D23" s="35">
        <v>7.0000000000000007E-2</v>
      </c>
      <c r="E23" s="23">
        <v>0.18</v>
      </c>
      <c r="F23" s="23">
        <v>0.05</v>
      </c>
      <c r="G23" s="23">
        <v>7.0000000000000007E-2</v>
      </c>
      <c r="H23" s="35">
        <f t="shared" si="0"/>
        <v>0.63000000000000012</v>
      </c>
    </row>
    <row r="24" spans="1:8" ht="31.5">
      <c r="A24" s="43">
        <v>22</v>
      </c>
      <c r="B24" s="3" t="s">
        <v>5</v>
      </c>
      <c r="C24" s="23">
        <v>0.19</v>
      </c>
      <c r="D24" s="35">
        <v>0.09</v>
      </c>
      <c r="E24" s="23">
        <v>0.18</v>
      </c>
      <c r="F24" s="23">
        <v>0.03</v>
      </c>
      <c r="G24" s="23">
        <v>0.08</v>
      </c>
      <c r="H24" s="35">
        <f t="shared" si="0"/>
        <v>0.56999999999999995</v>
      </c>
    </row>
    <row r="25" spans="1:8" s="10" customFormat="1" ht="31.5">
      <c r="A25" s="43">
        <v>23</v>
      </c>
      <c r="B25" s="3" t="s">
        <v>24</v>
      </c>
      <c r="C25" s="23">
        <v>0.16</v>
      </c>
      <c r="D25" s="35">
        <v>7.0000000000000007E-2</v>
      </c>
      <c r="E25" s="23">
        <v>0.17</v>
      </c>
      <c r="F25" s="23">
        <v>0.01</v>
      </c>
      <c r="G25" s="23">
        <v>0</v>
      </c>
      <c r="H25" s="35">
        <f t="shared" si="0"/>
        <v>0.41000000000000003</v>
      </c>
    </row>
    <row r="26" spans="1:8" ht="33" customHeight="1">
      <c r="A26" s="43">
        <v>24</v>
      </c>
      <c r="B26" s="3" t="s">
        <v>4</v>
      </c>
      <c r="C26" s="23">
        <v>0.05</v>
      </c>
      <c r="D26" s="35">
        <v>0.02</v>
      </c>
      <c r="E26" s="23">
        <v>0.15</v>
      </c>
      <c r="F26" s="23">
        <v>0.12</v>
      </c>
      <c r="G26" s="23">
        <v>0.04</v>
      </c>
      <c r="H26" s="35">
        <f t="shared" si="0"/>
        <v>0.37999999999999995</v>
      </c>
    </row>
    <row r="27" spans="1:8" ht="20.25" customHeight="1">
      <c r="A27" s="43">
        <v>25</v>
      </c>
      <c r="B27" s="107" t="s">
        <v>22</v>
      </c>
      <c r="C27" s="23">
        <v>0</v>
      </c>
      <c r="D27" s="35">
        <v>0</v>
      </c>
      <c r="E27" s="23">
        <v>0.1</v>
      </c>
      <c r="F27" s="23">
        <v>0.1</v>
      </c>
      <c r="G27" s="23">
        <v>0</v>
      </c>
      <c r="H27" s="35">
        <f t="shared" si="0"/>
        <v>0.2</v>
      </c>
    </row>
    <row r="28" spans="1:8" ht="43.5" customHeight="1">
      <c r="A28" s="115"/>
      <c r="B28" s="113" t="s">
        <v>128</v>
      </c>
      <c r="C28" s="115"/>
      <c r="D28" s="115"/>
      <c r="E28" s="115"/>
      <c r="F28" s="115"/>
      <c r="G28" s="115"/>
      <c r="H28" s="115"/>
    </row>
    <row r="29" spans="1:8" ht="127.5" customHeight="1">
      <c r="A29" s="43" t="s">
        <v>99</v>
      </c>
      <c r="B29" s="61" t="s">
        <v>41</v>
      </c>
      <c r="C29" s="61" t="s">
        <v>66</v>
      </c>
      <c r="D29" s="61" t="s">
        <v>80</v>
      </c>
      <c r="E29" s="61" t="s">
        <v>85</v>
      </c>
      <c r="F29" s="61" t="s">
        <v>108</v>
      </c>
      <c r="G29" s="61" t="s">
        <v>96</v>
      </c>
      <c r="H29" s="62" t="s">
        <v>97</v>
      </c>
    </row>
    <row r="30" spans="1:8" ht="18" customHeight="1">
      <c r="A30" s="46">
        <v>1</v>
      </c>
      <c r="B30" s="3" t="s">
        <v>34</v>
      </c>
      <c r="C30" s="23">
        <v>0.16</v>
      </c>
      <c r="D30" s="35">
        <v>1.2</v>
      </c>
      <c r="E30" s="23">
        <v>0.43</v>
      </c>
      <c r="F30" s="23">
        <v>0.16</v>
      </c>
      <c r="G30" s="23">
        <v>0.48</v>
      </c>
      <c r="H30" s="35">
        <f>C30+D30+E30+F30+G30</f>
        <v>2.4299999999999997</v>
      </c>
    </row>
    <row r="31" spans="1:8" ht="30" customHeight="1">
      <c r="A31" s="46">
        <v>2</v>
      </c>
      <c r="B31" s="3" t="s">
        <v>36</v>
      </c>
      <c r="C31" s="23">
        <v>0.12</v>
      </c>
      <c r="D31" s="35">
        <v>1</v>
      </c>
      <c r="E31" s="23">
        <v>0.5</v>
      </c>
      <c r="F31" s="23">
        <v>0.31</v>
      </c>
      <c r="G31" s="23">
        <v>0.25</v>
      </c>
      <c r="H31" s="35">
        <f>C31+D31+E31+F31+G31</f>
        <v>2.1800000000000002</v>
      </c>
    </row>
    <row r="32" spans="1:8" ht="30" customHeight="1">
      <c r="A32" s="46">
        <v>3</v>
      </c>
      <c r="B32" s="3" t="s">
        <v>35</v>
      </c>
      <c r="C32" s="23">
        <v>0.2</v>
      </c>
      <c r="D32" s="35">
        <v>0.7</v>
      </c>
      <c r="E32" s="23">
        <v>0.28999999999999998</v>
      </c>
      <c r="F32" s="23">
        <v>0.08</v>
      </c>
      <c r="G32" s="23">
        <v>0.05</v>
      </c>
      <c r="H32" s="35">
        <f>C32+D32+E32+F32+G32</f>
        <v>1.32</v>
      </c>
    </row>
    <row r="33" spans="1:8" ht="18" customHeight="1">
      <c r="A33" s="46">
        <v>4</v>
      </c>
      <c r="B33" s="3" t="s">
        <v>33</v>
      </c>
      <c r="C33" s="23">
        <v>0.09</v>
      </c>
      <c r="D33" s="35">
        <v>0.1</v>
      </c>
      <c r="E33" s="23">
        <v>0.28999999999999998</v>
      </c>
      <c r="F33" s="23">
        <v>0.26</v>
      </c>
      <c r="G33" s="23">
        <v>0.46</v>
      </c>
      <c r="H33" s="35">
        <f>C33+D33+E33+F33+G33</f>
        <v>1.2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36.75" customHeight="1">
      <c r="A35" s="2"/>
      <c r="B35" s="2"/>
      <c r="C35" s="2"/>
      <c r="D35" s="2"/>
      <c r="E35" s="2"/>
      <c r="F35" s="2"/>
      <c r="G35" s="2"/>
      <c r="H35" s="2"/>
    </row>
  </sheetData>
  <sortState ref="B3:H27">
    <sortCondition descending="1" ref="H3:H27"/>
  </sortState>
  <phoneticPr fontId="5" type="noConversion"/>
  <pageMargins left="0.37" right="0.18" top="0.23" bottom="0.28000000000000003" header="0.2" footer="0.2"/>
  <pageSetup paperSize="9" scale="85" orientation="landscape" horizontalDpi="300" verticalDpi="300" r:id="rId1"/>
  <headerFooter alignWithMargins="0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workbookViewId="0"/>
  </sheetViews>
  <sheetFormatPr defaultRowHeight="12.75"/>
  <cols>
    <col min="1" max="1" width="7.140625" customWidth="1"/>
    <col min="2" max="2" width="72.5703125" customWidth="1"/>
    <col min="3" max="3" width="27.28515625" customWidth="1"/>
    <col min="4" max="4" width="22.140625" customWidth="1"/>
    <col min="5" max="5" width="14.7109375" customWidth="1"/>
  </cols>
  <sheetData>
    <row r="1" spans="1:14" ht="37.5" customHeight="1">
      <c r="B1" s="60" t="s">
        <v>115</v>
      </c>
      <c r="C1" s="7"/>
      <c r="D1" s="79"/>
      <c r="E1" s="7"/>
    </row>
    <row r="2" spans="1:14" ht="138.75" customHeight="1">
      <c r="A2" s="43" t="s">
        <v>99</v>
      </c>
      <c r="B2" s="57" t="s">
        <v>0</v>
      </c>
      <c r="C2" s="57" t="s">
        <v>64</v>
      </c>
      <c r="D2" s="57" t="s">
        <v>65</v>
      </c>
      <c r="E2" s="57" t="s">
        <v>66</v>
      </c>
    </row>
    <row r="3" spans="1:14" ht="16.5" customHeight="1">
      <c r="A3" s="43">
        <v>1</v>
      </c>
      <c r="B3" s="9" t="s">
        <v>31</v>
      </c>
      <c r="C3" s="75">
        <v>23</v>
      </c>
      <c r="D3" s="75">
        <v>64</v>
      </c>
      <c r="E3" s="12">
        <f t="shared" ref="E3:E27" si="0">C3/D3</f>
        <v>0.359375</v>
      </c>
    </row>
    <row r="4" spans="1:14" ht="16.5" customHeight="1">
      <c r="A4" s="43">
        <v>2</v>
      </c>
      <c r="B4" s="9" t="s">
        <v>7</v>
      </c>
      <c r="C4" s="75">
        <f>11+2+3</f>
        <v>16</v>
      </c>
      <c r="D4" s="75">
        <v>59</v>
      </c>
      <c r="E4" s="12">
        <f t="shared" si="0"/>
        <v>0.2711864406779661</v>
      </c>
    </row>
    <row r="5" spans="1:14" ht="16.5" customHeight="1">
      <c r="A5" s="43">
        <v>3</v>
      </c>
      <c r="B5" s="9" t="s">
        <v>15</v>
      </c>
      <c r="C5" s="75">
        <f>12+1</f>
        <v>13</v>
      </c>
      <c r="D5" s="75">
        <v>50</v>
      </c>
      <c r="E5" s="12">
        <f t="shared" si="0"/>
        <v>0.26</v>
      </c>
    </row>
    <row r="6" spans="1:14" ht="16.5" customHeight="1">
      <c r="A6" s="43">
        <v>4</v>
      </c>
      <c r="B6" s="9" t="s">
        <v>29</v>
      </c>
      <c r="C6" s="75">
        <v>14</v>
      </c>
      <c r="D6" s="75">
        <v>62</v>
      </c>
      <c r="E6" s="12">
        <f t="shared" si="0"/>
        <v>0.22580645161290322</v>
      </c>
    </row>
    <row r="7" spans="1:14" ht="16.5" customHeight="1">
      <c r="A7" s="43">
        <v>5</v>
      </c>
      <c r="B7" s="9" t="s">
        <v>9</v>
      </c>
      <c r="C7" s="77">
        <f>15+1+1</f>
        <v>17</v>
      </c>
      <c r="D7" s="75">
        <v>82</v>
      </c>
      <c r="E7" s="12">
        <f t="shared" si="0"/>
        <v>0.2073170731707317</v>
      </c>
    </row>
    <row r="8" spans="1:14" ht="16.5" customHeight="1">
      <c r="A8" s="43">
        <v>6</v>
      </c>
      <c r="B8" s="9" t="s">
        <v>5</v>
      </c>
      <c r="C8" s="75">
        <f>11+1</f>
        <v>12</v>
      </c>
      <c r="D8" s="75">
        <v>62</v>
      </c>
      <c r="E8" s="12">
        <f t="shared" si="0"/>
        <v>0.19354838709677419</v>
      </c>
    </row>
    <row r="9" spans="1:14" ht="16.5" customHeight="1">
      <c r="A9" s="43">
        <v>7</v>
      </c>
      <c r="B9" s="9" t="s">
        <v>20</v>
      </c>
      <c r="C9" s="76">
        <f>11+1+1</f>
        <v>13</v>
      </c>
      <c r="D9" s="76">
        <v>73</v>
      </c>
      <c r="E9" s="12">
        <f t="shared" si="0"/>
        <v>0.17808219178082191</v>
      </c>
    </row>
    <row r="10" spans="1:14" ht="16.5" customHeight="1">
      <c r="A10" s="43">
        <v>8</v>
      </c>
      <c r="B10" s="9" t="s">
        <v>26</v>
      </c>
      <c r="C10" s="77">
        <v>32</v>
      </c>
      <c r="D10" s="75">
        <v>192</v>
      </c>
      <c r="E10" s="12">
        <f t="shared" si="0"/>
        <v>0.16666666666666666</v>
      </c>
      <c r="H10" s="119"/>
      <c r="N10" s="8"/>
    </row>
    <row r="11" spans="1:14" ht="16.5" customHeight="1">
      <c r="A11" s="43">
        <v>9</v>
      </c>
      <c r="B11" s="9" t="s">
        <v>24</v>
      </c>
      <c r="C11" s="76">
        <v>6</v>
      </c>
      <c r="D11" s="76">
        <f>22+15</f>
        <v>37</v>
      </c>
      <c r="E11" s="12">
        <f t="shared" si="0"/>
        <v>0.16216216216216217</v>
      </c>
    </row>
    <row r="12" spans="1:14" ht="16.5" customHeight="1">
      <c r="A12" s="43">
        <v>10</v>
      </c>
      <c r="B12" s="9" t="s">
        <v>13</v>
      </c>
      <c r="C12" s="77">
        <f>30+1</f>
        <v>31</v>
      </c>
      <c r="D12" s="75">
        <v>197</v>
      </c>
      <c r="E12" s="13">
        <f t="shared" si="0"/>
        <v>0.15736040609137056</v>
      </c>
    </row>
    <row r="13" spans="1:14" ht="16.5" customHeight="1">
      <c r="A13" s="43">
        <v>11</v>
      </c>
      <c r="B13" s="9" t="s">
        <v>14</v>
      </c>
      <c r="C13" s="77">
        <f>36+2+1</f>
        <v>39</v>
      </c>
      <c r="D13" s="75">
        <v>283</v>
      </c>
      <c r="E13" s="12">
        <f t="shared" si="0"/>
        <v>0.13780918727915195</v>
      </c>
      <c r="I13" s="118"/>
    </row>
    <row r="14" spans="1:14" ht="16.5" customHeight="1">
      <c r="A14" s="43">
        <v>12</v>
      </c>
      <c r="B14" s="9" t="s">
        <v>19</v>
      </c>
      <c r="C14" s="77">
        <f>29+1</f>
        <v>30</v>
      </c>
      <c r="D14" s="75">
        <v>218</v>
      </c>
      <c r="E14" s="12">
        <f t="shared" si="0"/>
        <v>0.13761467889908258</v>
      </c>
    </row>
    <row r="15" spans="1:14" ht="16.5" customHeight="1">
      <c r="A15" s="43">
        <v>13</v>
      </c>
      <c r="B15" s="9" t="s">
        <v>12</v>
      </c>
      <c r="C15" s="75">
        <f>17+1</f>
        <v>18</v>
      </c>
      <c r="D15" s="75">
        <v>133</v>
      </c>
      <c r="E15" s="12">
        <f t="shared" si="0"/>
        <v>0.13533834586466165</v>
      </c>
    </row>
    <row r="16" spans="1:14" ht="16.5" customHeight="1">
      <c r="A16" s="43">
        <v>14</v>
      </c>
      <c r="B16" s="9" t="s">
        <v>133</v>
      </c>
      <c r="C16" s="77">
        <v>16</v>
      </c>
      <c r="D16" s="75">
        <v>120</v>
      </c>
      <c r="E16" s="12">
        <f t="shared" si="0"/>
        <v>0.13333333333333333</v>
      </c>
    </row>
    <row r="17" spans="1:13" ht="16.5" customHeight="1">
      <c r="A17" s="43">
        <v>15</v>
      </c>
      <c r="B17" s="9" t="s">
        <v>11</v>
      </c>
      <c r="C17" s="75">
        <f>28+1</f>
        <v>29</v>
      </c>
      <c r="D17" s="75">
        <v>225</v>
      </c>
      <c r="E17" s="12">
        <f t="shared" si="0"/>
        <v>0.12888888888888889</v>
      </c>
    </row>
    <row r="18" spans="1:13" ht="16.5" customHeight="1">
      <c r="A18" s="43">
        <v>16</v>
      </c>
      <c r="B18" s="9" t="s">
        <v>21</v>
      </c>
      <c r="C18" s="77">
        <f>6+3</f>
        <v>9</v>
      </c>
      <c r="D18" s="75">
        <v>73</v>
      </c>
      <c r="E18" s="12">
        <f t="shared" si="0"/>
        <v>0.12328767123287671</v>
      </c>
    </row>
    <row r="19" spans="1:13" ht="16.5" customHeight="1">
      <c r="A19" s="43">
        <v>17</v>
      </c>
      <c r="B19" s="9" t="s">
        <v>28</v>
      </c>
      <c r="C19" s="77">
        <f>16+2</f>
        <v>18</v>
      </c>
      <c r="D19" s="75">
        <v>147</v>
      </c>
      <c r="E19" s="12">
        <f t="shared" si="0"/>
        <v>0.12244897959183673</v>
      </c>
      <c r="I19" s="118"/>
    </row>
    <row r="20" spans="1:13" ht="16.5" customHeight="1">
      <c r="A20" s="43">
        <v>18</v>
      </c>
      <c r="B20" s="9" t="s">
        <v>25</v>
      </c>
      <c r="C20" s="77">
        <f>23+14+5+2</f>
        <v>44</v>
      </c>
      <c r="D20" s="75">
        <f>339+40</f>
        <v>379</v>
      </c>
      <c r="E20" s="12">
        <f t="shared" si="0"/>
        <v>0.11609498680738786</v>
      </c>
    </row>
    <row r="21" spans="1:13" ht="16.5" customHeight="1">
      <c r="A21" s="43">
        <v>19</v>
      </c>
      <c r="B21" s="9" t="s">
        <v>27</v>
      </c>
      <c r="C21" s="77">
        <v>7</v>
      </c>
      <c r="D21" s="75">
        <v>66</v>
      </c>
      <c r="E21" s="12">
        <f t="shared" si="0"/>
        <v>0.10606060606060606</v>
      </c>
    </row>
    <row r="22" spans="1:13" ht="16.5" customHeight="1">
      <c r="A22" s="43">
        <v>20</v>
      </c>
      <c r="B22" s="9" t="s">
        <v>8</v>
      </c>
      <c r="C22" s="75">
        <f>17+3</f>
        <v>20</v>
      </c>
      <c r="D22" s="75">
        <f>173+42</f>
        <v>215</v>
      </c>
      <c r="E22" s="12">
        <f t="shared" si="0"/>
        <v>9.3023255813953487E-2</v>
      </c>
    </row>
    <row r="23" spans="1:13" ht="16.5" customHeight="1">
      <c r="A23" s="43">
        <v>21</v>
      </c>
      <c r="B23" s="9" t="s">
        <v>10</v>
      </c>
      <c r="C23" s="77">
        <f>5+6+1</f>
        <v>12</v>
      </c>
      <c r="D23" s="75">
        <f>51+80</f>
        <v>131</v>
      </c>
      <c r="E23" s="13">
        <f t="shared" si="0"/>
        <v>9.1603053435114504E-2</v>
      </c>
      <c r="M23" s="146"/>
    </row>
    <row r="24" spans="1:13" ht="16.5" customHeight="1">
      <c r="A24" s="43">
        <v>22</v>
      </c>
      <c r="B24" s="9" t="s">
        <v>112</v>
      </c>
      <c r="C24" s="75">
        <v>7</v>
      </c>
      <c r="D24" s="75">
        <v>99</v>
      </c>
      <c r="E24" s="12">
        <f t="shared" si="0"/>
        <v>7.0707070707070704E-2</v>
      </c>
    </row>
    <row r="25" spans="1:13" ht="16.5" customHeight="1">
      <c r="A25" s="43">
        <v>23</v>
      </c>
      <c r="B25" s="9" t="s">
        <v>4</v>
      </c>
      <c r="C25" s="75">
        <f>4+1+1</f>
        <v>6</v>
      </c>
      <c r="D25" s="75">
        <f>111+7</f>
        <v>118</v>
      </c>
      <c r="E25" s="12">
        <f t="shared" si="0"/>
        <v>5.0847457627118647E-2</v>
      </c>
    </row>
    <row r="26" spans="1:13" ht="16.5" customHeight="1">
      <c r="A26" s="43">
        <v>24</v>
      </c>
      <c r="B26" s="9" t="s">
        <v>6</v>
      </c>
      <c r="C26" s="84">
        <v>5</v>
      </c>
      <c r="D26" s="76">
        <v>122</v>
      </c>
      <c r="E26" s="13">
        <f t="shared" si="0"/>
        <v>4.0983606557377046E-2</v>
      </c>
    </row>
    <row r="27" spans="1:13" ht="16.5" customHeight="1">
      <c r="A27" s="43">
        <v>25</v>
      </c>
      <c r="B27" s="107" t="s">
        <v>22</v>
      </c>
      <c r="C27" s="75">
        <v>0</v>
      </c>
      <c r="D27" s="75">
        <v>4</v>
      </c>
      <c r="E27" s="12">
        <f t="shared" si="0"/>
        <v>0</v>
      </c>
    </row>
    <row r="28" spans="1:13" ht="15.75">
      <c r="B28" s="19" t="s">
        <v>49</v>
      </c>
      <c r="C28" s="99">
        <f>SUM(C3:C27)</f>
        <v>437</v>
      </c>
      <c r="D28" s="99">
        <f>SUM(D3:D27)</f>
        <v>3211</v>
      </c>
      <c r="E28" s="13"/>
    </row>
    <row r="29" spans="1:13" ht="43.5" customHeight="1">
      <c r="A29" s="112"/>
      <c r="B29" s="113" t="s">
        <v>63</v>
      </c>
      <c r="C29" s="114"/>
      <c r="D29" s="114"/>
      <c r="E29" s="114"/>
    </row>
    <row r="30" spans="1:13" ht="132.75" customHeight="1">
      <c r="A30" s="43" t="s">
        <v>99</v>
      </c>
      <c r="B30" s="57" t="s">
        <v>41</v>
      </c>
      <c r="C30" s="57" t="s">
        <v>64</v>
      </c>
      <c r="D30" s="57" t="s">
        <v>65</v>
      </c>
      <c r="E30" s="57" t="s">
        <v>66</v>
      </c>
    </row>
    <row r="31" spans="1:13" ht="16.5" customHeight="1">
      <c r="A31" s="43">
        <v>1</v>
      </c>
      <c r="B31" s="3" t="s">
        <v>35</v>
      </c>
      <c r="C31" s="25">
        <v>95</v>
      </c>
      <c r="D31" s="25">
        <v>478</v>
      </c>
      <c r="E31" s="13">
        <f>C31/D31</f>
        <v>0.19874476987447698</v>
      </c>
    </row>
    <row r="32" spans="1:13" ht="16.5" customHeight="1">
      <c r="A32" s="43">
        <v>2</v>
      </c>
      <c r="B32" s="3" t="s">
        <v>34</v>
      </c>
      <c r="C32" s="25">
        <v>147</v>
      </c>
      <c r="D32" s="25">
        <v>927</v>
      </c>
      <c r="E32" s="13">
        <f>C32/D32</f>
        <v>0.15857605177993528</v>
      </c>
    </row>
    <row r="33" spans="1:5" ht="16.5" customHeight="1">
      <c r="A33" s="43">
        <v>3</v>
      </c>
      <c r="B33" s="3" t="s">
        <v>36</v>
      </c>
      <c r="C33" s="25">
        <v>121</v>
      </c>
      <c r="D33" s="25">
        <v>969</v>
      </c>
      <c r="E33" s="13">
        <f>C33/D33</f>
        <v>0.12487100103199174</v>
      </c>
    </row>
    <row r="34" spans="1:5" ht="16.5" customHeight="1">
      <c r="A34" s="43">
        <v>4</v>
      </c>
      <c r="B34" s="3" t="s">
        <v>33</v>
      </c>
      <c r="C34" s="25">
        <v>74</v>
      </c>
      <c r="D34" s="25">
        <v>837</v>
      </c>
      <c r="E34" s="13">
        <f>C34/D34</f>
        <v>8.8410991636798095E-2</v>
      </c>
    </row>
    <row r="35" spans="1:5" ht="15.75">
      <c r="B35" s="19" t="s">
        <v>49</v>
      </c>
      <c r="C35" s="31">
        <f>SUM(C31:C34)</f>
        <v>437</v>
      </c>
      <c r="D35" s="31">
        <f>SUM(D31:D34)</f>
        <v>3211</v>
      </c>
      <c r="E35" s="27"/>
    </row>
    <row r="37" spans="1:5" ht="36.75" customHeight="1">
      <c r="C37" s="5"/>
    </row>
    <row r="38" spans="1:5" ht="19.5" customHeight="1">
      <c r="B38" s="24"/>
    </row>
  </sheetData>
  <sortState ref="B31:E34">
    <sortCondition descending="1" ref="E31:E34"/>
  </sortState>
  <phoneticPr fontId="0" type="noConversion"/>
  <pageMargins left="0.43" right="0.22" top="0.47" bottom="0.37" header="0.35" footer="0.27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70" zoomScaleNormal="70" workbookViewId="0"/>
  </sheetViews>
  <sheetFormatPr defaultRowHeight="12.75"/>
  <cols>
    <col min="1" max="1" width="6.85546875" customWidth="1"/>
    <col min="2" max="2" width="67.28515625" customWidth="1"/>
    <col min="3" max="3" width="20.5703125" customWidth="1"/>
    <col min="4" max="4" width="19.28515625" customWidth="1"/>
    <col min="5" max="5" width="20.42578125" customWidth="1"/>
    <col min="6" max="6" width="18.28515625" customWidth="1"/>
    <col min="7" max="7" width="22.140625" customWidth="1"/>
    <col min="8" max="8" width="18.28515625" customWidth="1"/>
    <col min="9" max="9" width="16.42578125" bestFit="1" customWidth="1"/>
  </cols>
  <sheetData>
    <row r="1" spans="1:9" ht="40.5">
      <c r="B1" s="60" t="s">
        <v>79</v>
      </c>
      <c r="C1" s="7"/>
      <c r="D1" s="7"/>
      <c r="E1" s="7"/>
    </row>
    <row r="2" spans="1:9" ht="135" customHeight="1">
      <c r="A2" s="43" t="s">
        <v>99</v>
      </c>
      <c r="B2" s="57" t="s">
        <v>0</v>
      </c>
      <c r="C2" s="57" t="s">
        <v>139</v>
      </c>
      <c r="D2" s="57" t="s">
        <v>105</v>
      </c>
      <c r="E2" s="57" t="s">
        <v>140</v>
      </c>
      <c r="F2" s="57" t="s">
        <v>106</v>
      </c>
      <c r="G2" s="57" t="s">
        <v>141</v>
      </c>
      <c r="H2" s="57" t="s">
        <v>142</v>
      </c>
      <c r="I2" s="57" t="s">
        <v>80</v>
      </c>
    </row>
    <row r="3" spans="1:9" s="10" customFormat="1" ht="16.5" customHeight="1">
      <c r="A3" s="46">
        <v>1</v>
      </c>
      <c r="B3" s="9" t="s">
        <v>25</v>
      </c>
      <c r="C3" s="77">
        <f>36+8</f>
        <v>44</v>
      </c>
      <c r="D3" s="77">
        <v>353</v>
      </c>
      <c r="E3" s="77">
        <f>20+8</f>
        <v>28</v>
      </c>
      <c r="F3" s="76">
        <v>259</v>
      </c>
      <c r="G3" s="76">
        <f>22+9+5</f>
        <v>36</v>
      </c>
      <c r="H3" s="76">
        <v>347</v>
      </c>
      <c r="I3" s="35">
        <f t="shared" ref="I3:I27" si="0">C3/D3+E3/F3+G3/H3</f>
        <v>0.33650039815390737</v>
      </c>
    </row>
    <row r="4" spans="1:9" s="10" customFormat="1" ht="16.5" customHeight="1">
      <c r="A4" s="46">
        <v>2</v>
      </c>
      <c r="B4" s="9" t="s">
        <v>14</v>
      </c>
      <c r="C4" s="77">
        <f>14+14</f>
        <v>28</v>
      </c>
      <c r="D4" s="77">
        <v>353</v>
      </c>
      <c r="E4" s="77">
        <f>11+15</f>
        <v>26</v>
      </c>
      <c r="F4" s="76">
        <v>259</v>
      </c>
      <c r="G4" s="76">
        <f>18+18</f>
        <v>36</v>
      </c>
      <c r="H4" s="76">
        <v>347</v>
      </c>
      <c r="I4" s="35">
        <f t="shared" si="0"/>
        <v>0.28345261139507244</v>
      </c>
    </row>
    <row r="5" spans="1:9" s="10" customFormat="1" ht="16.5" customHeight="1">
      <c r="A5" s="46">
        <v>3</v>
      </c>
      <c r="B5" s="9" t="s">
        <v>26</v>
      </c>
      <c r="C5" s="77">
        <v>35</v>
      </c>
      <c r="D5" s="77">
        <v>353</v>
      </c>
      <c r="E5" s="77">
        <v>21</v>
      </c>
      <c r="F5" s="76">
        <v>259</v>
      </c>
      <c r="G5" s="76">
        <v>29</v>
      </c>
      <c r="H5" s="76">
        <v>347</v>
      </c>
      <c r="I5" s="35">
        <f t="shared" si="0"/>
        <v>0.26380470975584086</v>
      </c>
    </row>
    <row r="6" spans="1:9" s="10" customFormat="1" ht="16.5" customHeight="1">
      <c r="A6" s="46">
        <v>4</v>
      </c>
      <c r="B6" s="9" t="s">
        <v>19</v>
      </c>
      <c r="C6" s="77">
        <v>29</v>
      </c>
      <c r="D6" s="77">
        <v>353</v>
      </c>
      <c r="E6" s="77">
        <v>20</v>
      </c>
      <c r="F6" s="76">
        <v>259</v>
      </c>
      <c r="G6" s="76">
        <v>28</v>
      </c>
      <c r="H6" s="76">
        <v>347</v>
      </c>
      <c r="I6" s="35">
        <f t="shared" si="0"/>
        <v>0.24006469437562336</v>
      </c>
    </row>
    <row r="7" spans="1:9" s="10" customFormat="1" ht="16.5" customHeight="1">
      <c r="A7" s="46">
        <v>5</v>
      </c>
      <c r="B7" s="9" t="s">
        <v>11</v>
      </c>
      <c r="C7" s="89">
        <v>39</v>
      </c>
      <c r="D7" s="77">
        <v>353</v>
      </c>
      <c r="E7" s="77">
        <v>12</v>
      </c>
      <c r="F7" s="76">
        <v>259</v>
      </c>
      <c r="G7" s="76">
        <v>28</v>
      </c>
      <c r="H7" s="76">
        <v>347</v>
      </c>
      <c r="I7" s="35">
        <f t="shared" si="0"/>
        <v>0.23750527538560945</v>
      </c>
    </row>
    <row r="8" spans="1:9" s="10" customFormat="1" ht="16.5" customHeight="1">
      <c r="A8" s="46">
        <v>6</v>
      </c>
      <c r="B8" s="9" t="s">
        <v>13</v>
      </c>
      <c r="C8" s="77">
        <v>33</v>
      </c>
      <c r="D8" s="77">
        <v>353</v>
      </c>
      <c r="E8" s="77">
        <v>15</v>
      </c>
      <c r="F8" s="76">
        <v>259</v>
      </c>
      <c r="G8" s="76">
        <v>24</v>
      </c>
      <c r="H8" s="76">
        <v>347</v>
      </c>
      <c r="I8" s="35">
        <f t="shared" si="0"/>
        <v>0.22056374230819703</v>
      </c>
    </row>
    <row r="9" spans="1:9" s="10" customFormat="1" ht="16.5" customHeight="1">
      <c r="A9" s="46">
        <v>7</v>
      </c>
      <c r="B9" s="9" t="s">
        <v>31</v>
      </c>
      <c r="C9" s="77">
        <v>5</v>
      </c>
      <c r="D9" s="77">
        <v>353</v>
      </c>
      <c r="E9" s="77">
        <v>29</v>
      </c>
      <c r="F9" s="76">
        <v>259</v>
      </c>
      <c r="G9" s="76">
        <v>23</v>
      </c>
      <c r="H9" s="76">
        <v>347</v>
      </c>
      <c r="I9" s="35">
        <f t="shared" si="0"/>
        <v>0.1924158386674</v>
      </c>
    </row>
    <row r="10" spans="1:9" s="10" customFormat="1" ht="16.5" customHeight="1">
      <c r="A10" s="46">
        <v>8</v>
      </c>
      <c r="B10" s="9" t="s">
        <v>12</v>
      </c>
      <c r="C10" s="77">
        <v>22</v>
      </c>
      <c r="D10" s="77">
        <v>353</v>
      </c>
      <c r="E10" s="77">
        <v>17</v>
      </c>
      <c r="F10" s="76">
        <v>259</v>
      </c>
      <c r="G10" s="76">
        <v>16</v>
      </c>
      <c r="H10" s="76">
        <v>347</v>
      </c>
      <c r="I10" s="35">
        <f t="shared" si="0"/>
        <v>0.17406952189915836</v>
      </c>
    </row>
    <row r="11" spans="1:9" s="10" customFormat="1" ht="16.5" customHeight="1">
      <c r="A11" s="46">
        <v>9</v>
      </c>
      <c r="B11" s="9" t="s">
        <v>133</v>
      </c>
      <c r="C11" s="77">
        <v>21</v>
      </c>
      <c r="D11" s="77">
        <v>353</v>
      </c>
      <c r="E11" s="77">
        <v>12</v>
      </c>
      <c r="F11" s="76">
        <v>259</v>
      </c>
      <c r="G11" s="76">
        <v>16</v>
      </c>
      <c r="H11" s="76">
        <v>347</v>
      </c>
      <c r="I11" s="35">
        <f t="shared" si="0"/>
        <v>0.15193164140433735</v>
      </c>
    </row>
    <row r="12" spans="1:9" s="10" customFormat="1" ht="16.5" customHeight="1">
      <c r="A12" s="46">
        <v>10</v>
      </c>
      <c r="B12" s="9" t="s">
        <v>28</v>
      </c>
      <c r="C12" s="77">
        <v>13</v>
      </c>
      <c r="D12" s="77">
        <v>353</v>
      </c>
      <c r="E12" s="77">
        <v>17</v>
      </c>
      <c r="F12" s="76">
        <v>259</v>
      </c>
      <c r="G12" s="76">
        <v>15</v>
      </c>
      <c r="H12" s="76">
        <v>347</v>
      </c>
      <c r="I12" s="35">
        <f t="shared" si="0"/>
        <v>0.14569192681053961</v>
      </c>
    </row>
    <row r="13" spans="1:9" s="10" customFormat="1" ht="16.5" customHeight="1">
      <c r="A13" s="46">
        <v>11</v>
      </c>
      <c r="B13" s="9" t="s">
        <v>29</v>
      </c>
      <c r="C13" s="77">
        <v>19</v>
      </c>
      <c r="D13" s="77">
        <v>353</v>
      </c>
      <c r="E13" s="77">
        <v>8</v>
      </c>
      <c r="F13" s="76">
        <v>259</v>
      </c>
      <c r="G13" s="76">
        <v>14</v>
      </c>
      <c r="H13" s="76">
        <v>347</v>
      </c>
      <c r="I13" s="35">
        <f t="shared" si="0"/>
        <v>0.12505821481991158</v>
      </c>
    </row>
    <row r="14" spans="1:9" s="10" customFormat="1" ht="16.5" customHeight="1">
      <c r="A14" s="46">
        <v>12</v>
      </c>
      <c r="B14" s="9" t="s">
        <v>20</v>
      </c>
      <c r="C14" s="88">
        <v>19</v>
      </c>
      <c r="D14" s="77">
        <v>353</v>
      </c>
      <c r="E14" s="76">
        <v>10</v>
      </c>
      <c r="F14" s="76">
        <v>259</v>
      </c>
      <c r="G14" s="76">
        <v>11</v>
      </c>
      <c r="H14" s="76">
        <v>347</v>
      </c>
      <c r="I14" s="35">
        <f t="shared" si="0"/>
        <v>0.12413468940070894</v>
      </c>
    </row>
    <row r="15" spans="1:9" s="10" customFormat="1" ht="16.5" customHeight="1">
      <c r="A15" s="46">
        <v>13</v>
      </c>
      <c r="B15" s="9" t="s">
        <v>7</v>
      </c>
      <c r="C15" s="77">
        <v>7</v>
      </c>
      <c r="D15" s="77">
        <v>353</v>
      </c>
      <c r="E15" s="77">
        <v>13</v>
      </c>
      <c r="F15" s="76">
        <v>259</v>
      </c>
      <c r="G15" s="76">
        <v>11</v>
      </c>
      <c r="H15" s="76">
        <v>347</v>
      </c>
      <c r="I15" s="35">
        <f t="shared" si="0"/>
        <v>0.10172336670610013</v>
      </c>
    </row>
    <row r="16" spans="1:9" s="10" customFormat="1" ht="16.5" customHeight="1">
      <c r="A16" s="46">
        <v>14</v>
      </c>
      <c r="B16" s="9" t="s">
        <v>5</v>
      </c>
      <c r="C16" s="89">
        <v>3</v>
      </c>
      <c r="D16" s="77">
        <v>353</v>
      </c>
      <c r="E16" s="77">
        <v>12</v>
      </c>
      <c r="F16" s="76">
        <v>259</v>
      </c>
      <c r="G16" s="76">
        <v>11</v>
      </c>
      <c r="H16" s="76">
        <v>347</v>
      </c>
      <c r="I16" s="35">
        <f t="shared" si="0"/>
        <v>8.6530918085889474E-2</v>
      </c>
    </row>
    <row r="17" spans="1:9" s="10" customFormat="1" ht="16.5" customHeight="1">
      <c r="A17" s="46">
        <v>15</v>
      </c>
      <c r="B17" s="9" t="s">
        <v>24</v>
      </c>
      <c r="C17" s="77">
        <f>5+5</f>
        <v>10</v>
      </c>
      <c r="D17" s="77">
        <v>353</v>
      </c>
      <c r="E17" s="77">
        <v>7</v>
      </c>
      <c r="F17" s="76">
        <v>259</v>
      </c>
      <c r="G17" s="76">
        <v>6</v>
      </c>
      <c r="H17" s="76">
        <v>347</v>
      </c>
      <c r="I17" s="35">
        <f t="shared" si="0"/>
        <v>7.2646705207464773E-2</v>
      </c>
    </row>
    <row r="18" spans="1:9" s="10" customFormat="1" ht="16.5" customHeight="1">
      <c r="A18" s="46">
        <v>16</v>
      </c>
      <c r="B18" s="9" t="s">
        <v>15</v>
      </c>
      <c r="C18" s="75">
        <v>11</v>
      </c>
      <c r="D18" s="77">
        <v>353</v>
      </c>
      <c r="E18" s="75">
        <v>0</v>
      </c>
      <c r="F18" s="76">
        <v>259</v>
      </c>
      <c r="G18" s="76">
        <v>12</v>
      </c>
      <c r="H18" s="76">
        <v>347</v>
      </c>
      <c r="I18" s="35">
        <f t="shared" si="0"/>
        <v>6.57436056526602E-2</v>
      </c>
    </row>
    <row r="19" spans="1:9" s="10" customFormat="1" ht="16.5" customHeight="1">
      <c r="A19" s="46">
        <v>17</v>
      </c>
      <c r="B19" s="9" t="s">
        <v>9</v>
      </c>
      <c r="C19" s="77">
        <v>1</v>
      </c>
      <c r="D19" s="77">
        <v>353</v>
      </c>
      <c r="E19" s="77">
        <v>2</v>
      </c>
      <c r="F19" s="76">
        <v>259</v>
      </c>
      <c r="G19" s="76">
        <v>8</v>
      </c>
      <c r="H19" s="76">
        <v>347</v>
      </c>
      <c r="I19" s="35">
        <f t="shared" si="0"/>
        <v>3.3609623955037082E-2</v>
      </c>
    </row>
    <row r="20" spans="1:9" s="10" customFormat="1" ht="16.5" customHeight="1">
      <c r="A20" s="46">
        <v>18</v>
      </c>
      <c r="B20" s="9" t="s">
        <v>8</v>
      </c>
      <c r="C20" s="84">
        <v>5</v>
      </c>
      <c r="D20" s="77">
        <v>353</v>
      </c>
      <c r="E20" s="84">
        <v>2</v>
      </c>
      <c r="F20" s="76">
        <v>259</v>
      </c>
      <c r="G20" s="76">
        <f>3+1</f>
        <v>4</v>
      </c>
      <c r="H20" s="76">
        <v>347</v>
      </c>
      <c r="I20" s="35">
        <f t="shared" si="0"/>
        <v>3.3413691192630053E-2</v>
      </c>
    </row>
    <row r="21" spans="1:9" s="10" customFormat="1" ht="16.5" customHeight="1">
      <c r="A21" s="46">
        <v>19</v>
      </c>
      <c r="B21" s="9" t="s">
        <v>21</v>
      </c>
      <c r="C21" s="77">
        <v>5</v>
      </c>
      <c r="D21" s="77">
        <v>353</v>
      </c>
      <c r="E21" s="77">
        <v>0</v>
      </c>
      <c r="F21" s="76">
        <v>259</v>
      </c>
      <c r="G21" s="76">
        <v>5</v>
      </c>
      <c r="H21" s="76">
        <v>347</v>
      </c>
      <c r="I21" s="35">
        <f t="shared" si="0"/>
        <v>2.8573527851025789E-2</v>
      </c>
    </row>
    <row r="22" spans="1:9" s="10" customFormat="1" ht="16.5" customHeight="1">
      <c r="A22" s="46">
        <v>20</v>
      </c>
      <c r="B22" s="9" t="s">
        <v>10</v>
      </c>
      <c r="C22" s="84">
        <v>1</v>
      </c>
      <c r="D22" s="77">
        <v>353</v>
      </c>
      <c r="E22" s="84">
        <f>1+2</f>
        <v>3</v>
      </c>
      <c r="F22" s="76">
        <v>259</v>
      </c>
      <c r="G22" s="76">
        <f>2+2</f>
        <v>4</v>
      </c>
      <c r="H22" s="76">
        <v>347</v>
      </c>
      <c r="I22" s="35">
        <f t="shared" si="0"/>
        <v>2.5943250294427116E-2</v>
      </c>
    </row>
    <row r="23" spans="1:9" s="10" customFormat="1" ht="16.5" customHeight="1">
      <c r="A23" s="46">
        <v>21</v>
      </c>
      <c r="B23" s="9" t="s">
        <v>4</v>
      </c>
      <c r="C23" s="77">
        <v>2</v>
      </c>
      <c r="D23" s="77">
        <v>353</v>
      </c>
      <c r="E23" s="77">
        <v>2</v>
      </c>
      <c r="F23" s="76">
        <v>259</v>
      </c>
      <c r="G23" s="76">
        <v>3</v>
      </c>
      <c r="H23" s="76">
        <v>347</v>
      </c>
      <c r="I23" s="35">
        <f t="shared" si="0"/>
        <v>2.2033263242821496E-2</v>
      </c>
    </row>
    <row r="24" spans="1:9" s="10" customFormat="1" ht="16.5" customHeight="1">
      <c r="A24" s="46">
        <v>22</v>
      </c>
      <c r="B24" s="9" t="s">
        <v>6</v>
      </c>
      <c r="C24" s="89">
        <v>0</v>
      </c>
      <c r="D24" s="77">
        <v>353</v>
      </c>
      <c r="E24" s="77">
        <v>3</v>
      </c>
      <c r="F24" s="76">
        <v>259</v>
      </c>
      <c r="G24" s="76">
        <v>3</v>
      </c>
      <c r="H24" s="76">
        <v>347</v>
      </c>
      <c r="I24" s="35">
        <f t="shared" si="0"/>
        <v>2.0228544724221958E-2</v>
      </c>
    </row>
    <row r="25" spans="1:9" s="10" customFormat="1" ht="16.5" customHeight="1">
      <c r="A25" s="46">
        <v>23</v>
      </c>
      <c r="B25" s="9" t="s">
        <v>113</v>
      </c>
      <c r="C25" s="77">
        <v>1</v>
      </c>
      <c r="D25" s="77">
        <v>353</v>
      </c>
      <c r="E25" s="77">
        <v>0</v>
      </c>
      <c r="F25" s="76">
        <v>259</v>
      </c>
      <c r="G25" s="76">
        <v>2</v>
      </c>
      <c r="H25" s="76">
        <v>347</v>
      </c>
      <c r="I25" s="35">
        <f t="shared" si="0"/>
        <v>8.5965499506086163E-3</v>
      </c>
    </row>
    <row r="26" spans="1:9" s="10" customFormat="1" ht="15.75">
      <c r="A26" s="46">
        <v>24</v>
      </c>
      <c r="B26" s="9" t="s">
        <v>27</v>
      </c>
      <c r="C26" s="77">
        <v>0</v>
      </c>
      <c r="D26" s="77">
        <v>353</v>
      </c>
      <c r="E26" s="77">
        <v>0</v>
      </c>
      <c r="F26" s="76">
        <v>259</v>
      </c>
      <c r="G26" s="76">
        <v>2</v>
      </c>
      <c r="H26" s="76">
        <v>347</v>
      </c>
      <c r="I26" s="35">
        <f t="shared" si="0"/>
        <v>5.763688760806916E-3</v>
      </c>
    </row>
    <row r="27" spans="1:9" s="10" customFormat="1" ht="15.75">
      <c r="A27" s="46">
        <v>25</v>
      </c>
      <c r="B27" s="107" t="s">
        <v>22</v>
      </c>
      <c r="C27" s="77">
        <v>0</v>
      </c>
      <c r="D27" s="77">
        <v>353</v>
      </c>
      <c r="E27" s="77">
        <v>0</v>
      </c>
      <c r="F27" s="76">
        <v>259</v>
      </c>
      <c r="G27" s="76">
        <v>0</v>
      </c>
      <c r="H27" s="76">
        <v>347</v>
      </c>
      <c r="I27" s="35">
        <f t="shared" si="0"/>
        <v>0</v>
      </c>
    </row>
    <row r="28" spans="1:9" ht="15.75">
      <c r="B28" s="19" t="s">
        <v>49</v>
      </c>
      <c r="C28" s="99">
        <f>SUM(C3:C27)</f>
        <v>353</v>
      </c>
      <c r="D28" s="99"/>
      <c r="E28" s="99">
        <f>SUM(E3:E27)</f>
        <v>259</v>
      </c>
      <c r="F28" s="31"/>
      <c r="G28" s="31">
        <f>SUM(G3:G27)</f>
        <v>347</v>
      </c>
      <c r="H28" s="31"/>
      <c r="I28" s="120"/>
    </row>
    <row r="29" spans="1:9" ht="40.5">
      <c r="A29" s="37"/>
      <c r="B29" s="72" t="s">
        <v>78</v>
      </c>
      <c r="C29" s="42"/>
      <c r="D29" s="42"/>
      <c r="E29" s="42"/>
      <c r="F29" s="37"/>
      <c r="G29" s="37"/>
      <c r="H29" s="37"/>
      <c r="I29" s="37"/>
    </row>
    <row r="30" spans="1:9" ht="147.75" customHeight="1">
      <c r="A30" s="20"/>
      <c r="B30" s="57" t="s">
        <v>41</v>
      </c>
      <c r="C30" s="57" t="s">
        <v>155</v>
      </c>
      <c r="D30" s="57" t="s">
        <v>105</v>
      </c>
      <c r="E30" s="57" t="s">
        <v>156</v>
      </c>
      <c r="F30" s="57" t="s">
        <v>106</v>
      </c>
      <c r="G30" s="57" t="s">
        <v>157</v>
      </c>
      <c r="H30" s="57" t="s">
        <v>107</v>
      </c>
      <c r="I30" s="57" t="s">
        <v>80</v>
      </c>
    </row>
    <row r="31" spans="1:9" ht="27.75" customHeight="1">
      <c r="A31" s="43">
        <v>1</v>
      </c>
      <c r="B31" s="3" t="s">
        <v>34</v>
      </c>
      <c r="C31" s="25">
        <v>149</v>
      </c>
      <c r="D31" s="25">
        <v>353</v>
      </c>
      <c r="E31" s="25">
        <v>101</v>
      </c>
      <c r="F31" s="28">
        <v>259</v>
      </c>
      <c r="G31" s="28">
        <v>128</v>
      </c>
      <c r="H31" s="28">
        <v>347</v>
      </c>
      <c r="I31" s="30">
        <f>C31/D31+E31/F31+G31/H31</f>
        <v>1.1809337879334858</v>
      </c>
    </row>
    <row r="32" spans="1:9" ht="33" customHeight="1">
      <c r="A32" s="43">
        <v>2</v>
      </c>
      <c r="B32" s="3" t="s">
        <v>36</v>
      </c>
      <c r="C32" s="25">
        <v>125</v>
      </c>
      <c r="D32" s="25">
        <v>353</v>
      </c>
      <c r="E32" s="25">
        <v>77</v>
      </c>
      <c r="F32" s="28">
        <v>259</v>
      </c>
      <c r="G32" s="28">
        <v>107</v>
      </c>
      <c r="H32" s="28">
        <v>347</v>
      </c>
      <c r="I32" s="30">
        <f>C32/D32+E32/F32+G32/H32</f>
        <v>0.95976229472567987</v>
      </c>
    </row>
    <row r="33" spans="1:9" ht="31.5">
      <c r="A33" s="43">
        <v>3</v>
      </c>
      <c r="B33" s="3" t="s">
        <v>35</v>
      </c>
      <c r="C33" s="25">
        <v>69</v>
      </c>
      <c r="D33" s="25">
        <v>353</v>
      </c>
      <c r="E33" s="25">
        <v>69</v>
      </c>
      <c r="F33" s="28">
        <v>259</v>
      </c>
      <c r="G33" s="28">
        <v>86</v>
      </c>
      <c r="H33" s="28">
        <v>347</v>
      </c>
      <c r="I33" s="30">
        <f>C33/D33+E33/F33+G33/H33</f>
        <v>0.70971530522028115</v>
      </c>
    </row>
    <row r="34" spans="1:9" ht="21.75" customHeight="1">
      <c r="A34" s="43">
        <v>4</v>
      </c>
      <c r="B34" s="3" t="s">
        <v>33</v>
      </c>
      <c r="C34" s="25">
        <v>10</v>
      </c>
      <c r="D34" s="25">
        <v>353</v>
      </c>
      <c r="E34" s="25">
        <v>12</v>
      </c>
      <c r="F34" s="28">
        <v>259</v>
      </c>
      <c r="G34" s="28">
        <v>26</v>
      </c>
      <c r="H34" s="28">
        <v>347</v>
      </c>
      <c r="I34" s="30">
        <f>C34/D34+E34/F34+G34/H34</f>
        <v>0.14958861212055324</v>
      </c>
    </row>
    <row r="35" spans="1:9" ht="15.75">
      <c r="A35" s="20"/>
      <c r="B35" s="19" t="s">
        <v>49</v>
      </c>
      <c r="C35" s="31">
        <f>SUM(C31:C34)</f>
        <v>353</v>
      </c>
      <c r="D35" s="31"/>
      <c r="E35" s="31">
        <f>SUM(E31:E34)</f>
        <v>259</v>
      </c>
      <c r="F35" s="28"/>
      <c r="G35" s="31">
        <f>SUM(G31:G34)</f>
        <v>347</v>
      </c>
      <c r="H35" s="31"/>
      <c r="I35" s="23"/>
    </row>
    <row r="37" spans="1:9" ht="15.75">
      <c r="B37" s="6"/>
      <c r="C37" s="5"/>
    </row>
  </sheetData>
  <sortState ref="B3:I27">
    <sortCondition descending="1" ref="I3:I27"/>
  </sortState>
  <phoneticPr fontId="5" type="noConversion"/>
  <pageMargins left="0.19" right="0.2" top="0.54" bottom="0.42" header="0.25" footer="0.3"/>
  <pageSetup paperSize="9" scale="70" orientation="landscape" verticalDpi="300" r:id="rId1"/>
  <headerFooter alignWithMargins="0"/>
  <rowBreaks count="1" manualBreakCount="1">
    <brk id="2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workbookViewId="0">
      <selection activeCell="A2" sqref="A2"/>
    </sheetView>
  </sheetViews>
  <sheetFormatPr defaultRowHeight="12.75"/>
  <cols>
    <col min="1" max="1" width="6.7109375" customWidth="1"/>
    <col min="2" max="2" width="70.28515625" customWidth="1"/>
    <col min="3" max="3" width="19.5703125" customWidth="1"/>
    <col min="4" max="4" width="20.5703125" customWidth="1"/>
    <col min="5" max="5" width="17.5703125" customWidth="1"/>
  </cols>
  <sheetData>
    <row r="2" spans="1:14" ht="40.5">
      <c r="B2" s="60" t="s">
        <v>84</v>
      </c>
      <c r="C2" s="7"/>
      <c r="D2" s="7"/>
      <c r="E2" s="7"/>
    </row>
    <row r="3" spans="1:14" ht="131.25" customHeight="1">
      <c r="A3" s="43" t="s">
        <v>144</v>
      </c>
      <c r="B3" s="57" t="s">
        <v>0</v>
      </c>
      <c r="C3" s="57" t="s">
        <v>82</v>
      </c>
      <c r="D3" s="57" t="s">
        <v>83</v>
      </c>
      <c r="E3" s="57" t="s">
        <v>85</v>
      </c>
    </row>
    <row r="4" spans="1:14" ht="16.5" customHeight="1">
      <c r="A4" s="43">
        <v>1</v>
      </c>
      <c r="B4" s="9" t="s">
        <v>11</v>
      </c>
      <c r="C4" s="77">
        <v>133</v>
      </c>
      <c r="D4" s="77">
        <v>220</v>
      </c>
      <c r="E4" s="13">
        <f t="shared" ref="E4:E28" si="0">C4/D4</f>
        <v>0.6045454545454545</v>
      </c>
    </row>
    <row r="5" spans="1:14" ht="16.5" customHeight="1">
      <c r="A5" s="43">
        <v>2</v>
      </c>
      <c r="B5" s="9" t="s">
        <v>28</v>
      </c>
      <c r="C5" s="77">
        <v>84</v>
      </c>
      <c r="D5" s="77">
        <v>140</v>
      </c>
      <c r="E5" s="13">
        <f t="shared" si="0"/>
        <v>0.6</v>
      </c>
    </row>
    <row r="6" spans="1:14" ht="16.5" customHeight="1">
      <c r="A6" s="43">
        <v>3</v>
      </c>
      <c r="B6" s="9" t="s">
        <v>31</v>
      </c>
      <c r="C6" s="84">
        <v>57</v>
      </c>
      <c r="D6" s="84">
        <v>100</v>
      </c>
      <c r="E6" s="13">
        <f t="shared" si="0"/>
        <v>0.56999999999999995</v>
      </c>
    </row>
    <row r="7" spans="1:14" ht="16.5" customHeight="1">
      <c r="A7" s="43">
        <v>4</v>
      </c>
      <c r="B7" s="9" t="s">
        <v>133</v>
      </c>
      <c r="C7" s="89">
        <v>68</v>
      </c>
      <c r="D7" s="77">
        <v>120</v>
      </c>
      <c r="E7" s="13">
        <f t="shared" si="0"/>
        <v>0.56666666666666665</v>
      </c>
    </row>
    <row r="8" spans="1:14" ht="16.5" customHeight="1">
      <c r="A8" s="43">
        <v>5</v>
      </c>
      <c r="B8" s="9" t="s">
        <v>19</v>
      </c>
      <c r="C8" s="77">
        <v>122</v>
      </c>
      <c r="D8" s="77">
        <v>240</v>
      </c>
      <c r="E8" s="13">
        <f t="shared" si="0"/>
        <v>0.5083333333333333</v>
      </c>
    </row>
    <row r="9" spans="1:14" ht="16.5" customHeight="1">
      <c r="A9" s="43">
        <v>6</v>
      </c>
      <c r="B9" s="9" t="s">
        <v>6</v>
      </c>
      <c r="C9" s="77">
        <v>45</v>
      </c>
      <c r="D9" s="77">
        <v>100</v>
      </c>
      <c r="E9" s="13">
        <f t="shared" si="0"/>
        <v>0.45</v>
      </c>
      <c r="I9" s="135"/>
      <c r="J9" s="135"/>
      <c r="K9" s="135"/>
      <c r="L9" s="135"/>
      <c r="M9" s="135"/>
      <c r="N9" s="135"/>
    </row>
    <row r="10" spans="1:14" ht="16.5" customHeight="1">
      <c r="A10" s="43">
        <v>7</v>
      </c>
      <c r="B10" s="9" t="s">
        <v>13</v>
      </c>
      <c r="C10" s="25">
        <v>106</v>
      </c>
      <c r="D10" s="25">
        <v>240</v>
      </c>
      <c r="E10" s="13">
        <f t="shared" si="0"/>
        <v>0.44166666666666665</v>
      </c>
      <c r="I10" s="151"/>
      <c r="J10" s="122"/>
      <c r="K10" s="122"/>
      <c r="L10" s="122"/>
      <c r="M10" s="135"/>
      <c r="N10" s="135"/>
    </row>
    <row r="11" spans="1:14" ht="16.5" customHeight="1">
      <c r="A11" s="43">
        <v>8</v>
      </c>
      <c r="B11" s="9" t="s">
        <v>9</v>
      </c>
      <c r="C11" s="77">
        <v>57</v>
      </c>
      <c r="D11" s="77">
        <v>130</v>
      </c>
      <c r="E11" s="13">
        <f t="shared" si="0"/>
        <v>0.43846153846153846</v>
      </c>
      <c r="I11" s="151"/>
      <c r="J11" s="122"/>
      <c r="K11" s="122"/>
      <c r="L11" s="122"/>
      <c r="M11" s="135"/>
      <c r="N11" s="135"/>
    </row>
    <row r="12" spans="1:14" ht="16.5" customHeight="1">
      <c r="A12" s="43">
        <v>9</v>
      </c>
      <c r="B12" s="9" t="s">
        <v>25</v>
      </c>
      <c r="C12" s="77">
        <f>171+14+28</f>
        <v>213</v>
      </c>
      <c r="D12" s="77">
        <f>330+90+75</f>
        <v>495</v>
      </c>
      <c r="E12" s="13">
        <f t="shared" si="0"/>
        <v>0.4303030303030303</v>
      </c>
      <c r="I12" s="151"/>
      <c r="J12" s="122"/>
      <c r="K12" s="122"/>
      <c r="L12" s="122"/>
      <c r="M12" s="135"/>
      <c r="N12" s="135"/>
    </row>
    <row r="13" spans="1:14" ht="16.5" customHeight="1">
      <c r="A13" s="43">
        <v>10</v>
      </c>
      <c r="B13" s="9" t="s">
        <v>29</v>
      </c>
      <c r="C13" s="77">
        <v>46</v>
      </c>
      <c r="D13" s="77">
        <v>108</v>
      </c>
      <c r="E13" s="13">
        <f t="shared" si="0"/>
        <v>0.42592592592592593</v>
      </c>
      <c r="I13" s="151"/>
      <c r="J13" s="122"/>
      <c r="K13" s="122"/>
      <c r="L13" s="122"/>
      <c r="M13" s="135"/>
      <c r="N13" s="135"/>
    </row>
    <row r="14" spans="1:14" ht="16.5" customHeight="1">
      <c r="A14" s="43">
        <v>11</v>
      </c>
      <c r="B14" s="9" t="s">
        <v>20</v>
      </c>
      <c r="C14" s="84">
        <v>45</v>
      </c>
      <c r="D14" s="84">
        <v>108</v>
      </c>
      <c r="E14" s="13">
        <f t="shared" si="0"/>
        <v>0.41666666666666669</v>
      </c>
      <c r="I14" s="135"/>
      <c r="J14" s="122"/>
      <c r="K14" s="135"/>
      <c r="L14" s="122"/>
      <c r="M14" s="135"/>
      <c r="N14" s="135"/>
    </row>
    <row r="15" spans="1:14" ht="16.5" customHeight="1">
      <c r="A15" s="43">
        <v>12</v>
      </c>
      <c r="B15" s="9" t="s">
        <v>14</v>
      </c>
      <c r="C15" s="89">
        <f>67+64</f>
        <v>131</v>
      </c>
      <c r="D15" s="77">
        <f>175+150</f>
        <v>325</v>
      </c>
      <c r="E15" s="13">
        <f t="shared" si="0"/>
        <v>0.40307692307692305</v>
      </c>
      <c r="I15" s="135"/>
      <c r="J15" s="135"/>
      <c r="K15" s="135"/>
      <c r="L15" s="135"/>
      <c r="M15" s="135"/>
      <c r="N15" s="135"/>
    </row>
    <row r="16" spans="1:14" ht="16.5" customHeight="1">
      <c r="A16" s="43">
        <v>13</v>
      </c>
      <c r="B16" s="9" t="s">
        <v>12</v>
      </c>
      <c r="C16" s="77">
        <v>64</v>
      </c>
      <c r="D16" s="77">
        <v>160</v>
      </c>
      <c r="E16" s="13">
        <f t="shared" si="0"/>
        <v>0.4</v>
      </c>
      <c r="I16" s="135"/>
      <c r="J16" s="135"/>
      <c r="K16" s="135"/>
      <c r="L16" s="135"/>
      <c r="M16" s="135"/>
      <c r="N16" s="135"/>
    </row>
    <row r="17" spans="1:11" ht="16.5" customHeight="1">
      <c r="A17" s="43">
        <v>14</v>
      </c>
      <c r="B17" s="9" t="s">
        <v>7</v>
      </c>
      <c r="C17" s="134">
        <f>30+11</f>
        <v>41</v>
      </c>
      <c r="D17" s="77">
        <f>70+34</f>
        <v>104</v>
      </c>
      <c r="E17" s="13">
        <f t="shared" si="0"/>
        <v>0.39423076923076922</v>
      </c>
    </row>
    <row r="18" spans="1:11" ht="16.5" customHeight="1">
      <c r="A18" s="43">
        <v>15</v>
      </c>
      <c r="B18" s="9" t="s">
        <v>26</v>
      </c>
      <c r="C18" s="77">
        <v>109</v>
      </c>
      <c r="D18" s="77">
        <v>295</v>
      </c>
      <c r="E18" s="13">
        <f t="shared" si="0"/>
        <v>0.36949152542372882</v>
      </c>
    </row>
    <row r="19" spans="1:11" ht="16.5" customHeight="1">
      <c r="A19" s="43">
        <v>16</v>
      </c>
      <c r="B19" s="9" t="s">
        <v>8</v>
      </c>
      <c r="C19" s="77">
        <f>79+5</f>
        <v>84</v>
      </c>
      <c r="D19" s="75">
        <f>175+100</f>
        <v>275</v>
      </c>
      <c r="E19" s="13">
        <f t="shared" si="0"/>
        <v>0.30545454545454548</v>
      </c>
    </row>
    <row r="20" spans="1:11" ht="16.5" customHeight="1">
      <c r="A20" s="43">
        <v>17</v>
      </c>
      <c r="B20" s="9" t="s">
        <v>21</v>
      </c>
      <c r="C20" s="77">
        <v>35</v>
      </c>
      <c r="D20" s="77">
        <v>115</v>
      </c>
      <c r="E20" s="13">
        <f t="shared" si="0"/>
        <v>0.30434782608695654</v>
      </c>
    </row>
    <row r="21" spans="1:11" ht="16.5" customHeight="1">
      <c r="A21" s="43">
        <v>18</v>
      </c>
      <c r="B21" s="9" t="s">
        <v>10</v>
      </c>
      <c r="C21" s="77">
        <f>18+32</f>
        <v>50</v>
      </c>
      <c r="D21" s="84">
        <f>80+90</f>
        <v>170</v>
      </c>
      <c r="E21" s="13">
        <f t="shared" si="0"/>
        <v>0.29411764705882354</v>
      </c>
    </row>
    <row r="22" spans="1:11" ht="16.5" customHeight="1">
      <c r="A22" s="43">
        <v>19</v>
      </c>
      <c r="B22" s="9" t="s">
        <v>112</v>
      </c>
      <c r="C22" s="77">
        <v>22</v>
      </c>
      <c r="D22" s="77">
        <v>80</v>
      </c>
      <c r="E22" s="13">
        <f t="shared" si="0"/>
        <v>0.27500000000000002</v>
      </c>
    </row>
    <row r="23" spans="1:11" ht="16.5" customHeight="1">
      <c r="A23" s="43">
        <v>20</v>
      </c>
      <c r="B23" s="9" t="s">
        <v>27</v>
      </c>
      <c r="C23" s="77">
        <v>21</v>
      </c>
      <c r="D23" s="77">
        <v>80</v>
      </c>
      <c r="E23" s="13">
        <f t="shared" si="0"/>
        <v>0.26250000000000001</v>
      </c>
    </row>
    <row r="24" spans="1:11" ht="16.5" customHeight="1">
      <c r="A24" s="43">
        <v>21</v>
      </c>
      <c r="B24" s="9" t="s">
        <v>15</v>
      </c>
      <c r="C24" s="77">
        <f>12+19</f>
        <v>31</v>
      </c>
      <c r="D24" s="77">
        <v>170</v>
      </c>
      <c r="E24" s="13">
        <f t="shared" si="0"/>
        <v>0.18235294117647058</v>
      </c>
    </row>
    <row r="25" spans="1:11" ht="16.5" customHeight="1">
      <c r="A25" s="43">
        <v>22</v>
      </c>
      <c r="B25" s="9" t="s">
        <v>5</v>
      </c>
      <c r="C25" s="89">
        <v>30</v>
      </c>
      <c r="D25" s="77">
        <v>170</v>
      </c>
      <c r="E25" s="13">
        <f t="shared" si="0"/>
        <v>0.17647058823529413</v>
      </c>
    </row>
    <row r="26" spans="1:11" ht="16.5" customHeight="1">
      <c r="A26" s="43">
        <v>23</v>
      </c>
      <c r="B26" s="3" t="s">
        <v>24</v>
      </c>
      <c r="C26" s="77">
        <f>18+6</f>
        <v>24</v>
      </c>
      <c r="D26" s="77">
        <f>90+50</f>
        <v>140</v>
      </c>
      <c r="E26" s="13">
        <f t="shared" si="0"/>
        <v>0.17142857142857143</v>
      </c>
    </row>
    <row r="27" spans="1:11" ht="16.5" customHeight="1">
      <c r="A27" s="43">
        <v>24</v>
      </c>
      <c r="B27" s="9" t="s">
        <v>4</v>
      </c>
      <c r="C27" s="84">
        <f>24+7</f>
        <v>31</v>
      </c>
      <c r="D27" s="84">
        <f>150+60</f>
        <v>210</v>
      </c>
      <c r="E27" s="13">
        <f t="shared" si="0"/>
        <v>0.14761904761904762</v>
      </c>
    </row>
    <row r="28" spans="1:11" ht="16.5" customHeight="1">
      <c r="A28" s="43">
        <v>25</v>
      </c>
      <c r="B28" s="107" t="s">
        <v>22</v>
      </c>
      <c r="C28" s="77">
        <v>4</v>
      </c>
      <c r="D28" s="77">
        <v>40</v>
      </c>
      <c r="E28" s="13">
        <f t="shared" si="0"/>
        <v>0.1</v>
      </c>
    </row>
    <row r="29" spans="1:11" ht="15.75">
      <c r="B29" s="19" t="s">
        <v>49</v>
      </c>
      <c r="C29" s="99">
        <f>SUM(C4:C28)</f>
        <v>1653</v>
      </c>
      <c r="D29" s="99">
        <f>SUM(D4:D28)</f>
        <v>4335</v>
      </c>
      <c r="E29" s="18"/>
    </row>
    <row r="30" spans="1:11" ht="40.5">
      <c r="A30" s="37"/>
      <c r="B30" s="72" t="s">
        <v>81</v>
      </c>
      <c r="C30" s="42"/>
      <c r="D30" s="42"/>
      <c r="E30" s="42"/>
    </row>
    <row r="31" spans="1:11" ht="128.25" customHeight="1">
      <c r="A31" s="20"/>
      <c r="B31" s="57" t="s">
        <v>41</v>
      </c>
      <c r="C31" s="57" t="s">
        <v>82</v>
      </c>
      <c r="D31" s="57" t="s">
        <v>83</v>
      </c>
      <c r="E31" s="57" t="s">
        <v>85</v>
      </c>
    </row>
    <row r="32" spans="1:11" ht="15.75">
      <c r="A32" s="43">
        <v>1</v>
      </c>
      <c r="B32" s="3" t="s">
        <v>36</v>
      </c>
      <c r="C32" s="25">
        <v>552</v>
      </c>
      <c r="D32" s="25">
        <v>1095</v>
      </c>
      <c r="E32" s="13">
        <f>C32/D32</f>
        <v>0.50410958904109593</v>
      </c>
      <c r="J32" s="29"/>
      <c r="K32" s="29"/>
    </row>
    <row r="33" spans="1:5" ht="18.75" customHeight="1">
      <c r="A33" s="43">
        <v>2</v>
      </c>
      <c r="B33" s="3" t="s">
        <v>34</v>
      </c>
      <c r="C33" s="25">
        <v>501</v>
      </c>
      <c r="D33" s="25">
        <v>1165</v>
      </c>
      <c r="E33" s="13">
        <f>C33/D33</f>
        <v>0.43004291845493564</v>
      </c>
    </row>
    <row r="34" spans="1:5" ht="18.75" customHeight="1">
      <c r="A34" s="43">
        <v>3</v>
      </c>
      <c r="B34" s="3" t="s">
        <v>33</v>
      </c>
      <c r="C34" s="28">
        <v>314</v>
      </c>
      <c r="D34" s="28">
        <v>1085</v>
      </c>
      <c r="E34" s="13">
        <f>C34/D34</f>
        <v>0.28940092165898618</v>
      </c>
    </row>
    <row r="35" spans="1:5" ht="22.5" customHeight="1">
      <c r="A35" s="43">
        <v>4</v>
      </c>
      <c r="B35" s="3" t="s">
        <v>35</v>
      </c>
      <c r="C35" s="25">
        <v>286</v>
      </c>
      <c r="D35" s="25">
        <v>990</v>
      </c>
      <c r="E35" s="13">
        <f>C35/D35</f>
        <v>0.28888888888888886</v>
      </c>
    </row>
    <row r="36" spans="1:5" ht="15.75">
      <c r="A36" s="43"/>
      <c r="B36" s="19" t="s">
        <v>49</v>
      </c>
      <c r="C36" s="31">
        <f>SUM(C32:C35)</f>
        <v>1653</v>
      </c>
      <c r="D36" s="31">
        <f>SUM(D32:D35)</f>
        <v>4335</v>
      </c>
      <c r="E36" s="63"/>
    </row>
  </sheetData>
  <sortState ref="B32:E35">
    <sortCondition descending="1" ref="E32:E35"/>
  </sortState>
  <phoneticPr fontId="5" type="noConversion"/>
  <pageMargins left="0.75" right="0.27" top="0.34" bottom="0.33" header="0.25" footer="0.3"/>
  <pageSetup paperSize="9" scale="90" orientation="landscape" verticalDpi="300" r:id="rId1"/>
  <headerFooter alignWithMargins="0"/>
  <cellWatches>
    <cellWatch r="B1"/>
  </cellWatches>
</worksheet>
</file>

<file path=xl/worksheets/sheet9.xml><?xml version="1.0" encoding="utf-8"?>
<worksheet xmlns="http://schemas.openxmlformats.org/spreadsheetml/2006/main" xmlns:r="http://schemas.openxmlformats.org/officeDocument/2006/relationships">
  <dimension ref="A2:F38"/>
  <sheetViews>
    <sheetView zoomScale="70" zoomScaleNormal="70" workbookViewId="0">
      <selection activeCell="A2" sqref="A2"/>
    </sheetView>
  </sheetViews>
  <sheetFormatPr defaultRowHeight="12.75"/>
  <cols>
    <col min="1" max="1" width="7.42578125" bestFit="1" customWidth="1"/>
    <col min="2" max="2" width="69.140625" customWidth="1"/>
    <col min="3" max="3" width="22.5703125" customWidth="1"/>
    <col min="4" max="4" width="17.5703125" customWidth="1"/>
    <col min="5" max="5" width="22.42578125" customWidth="1"/>
    <col min="6" max="6" width="17" customWidth="1"/>
  </cols>
  <sheetData>
    <row r="2" spans="1:6" ht="36.75" customHeight="1">
      <c r="B2" s="60" t="s">
        <v>171</v>
      </c>
      <c r="C2" s="7"/>
      <c r="D2" s="7"/>
      <c r="E2" s="7"/>
    </row>
    <row r="3" spans="1:6" ht="162.75" customHeight="1">
      <c r="A3" s="43" t="s">
        <v>99</v>
      </c>
      <c r="B3" s="57" t="s">
        <v>0</v>
      </c>
      <c r="C3" s="57" t="s">
        <v>86</v>
      </c>
      <c r="D3" s="57" t="s">
        <v>87</v>
      </c>
      <c r="E3" s="57" t="s">
        <v>88</v>
      </c>
      <c r="F3" s="57" t="s">
        <v>89</v>
      </c>
    </row>
    <row r="4" spans="1:6" ht="15.95" customHeight="1">
      <c r="A4" s="43">
        <v>1</v>
      </c>
      <c r="B4" s="9" t="s">
        <v>6</v>
      </c>
      <c r="C4" s="76">
        <v>39</v>
      </c>
      <c r="D4" s="77">
        <v>100</v>
      </c>
      <c r="E4" s="76">
        <v>6</v>
      </c>
      <c r="F4" s="23">
        <f t="shared" ref="F4:F28" si="0">C4/(D4-E4)</f>
        <v>0.41489361702127658</v>
      </c>
    </row>
    <row r="5" spans="1:6" ht="15.95" customHeight="1">
      <c r="A5" s="43">
        <v>2</v>
      </c>
      <c r="B5" s="9" t="s">
        <v>28</v>
      </c>
      <c r="C5" s="77">
        <v>39</v>
      </c>
      <c r="D5" s="77">
        <v>140</v>
      </c>
      <c r="E5" s="77">
        <v>45</v>
      </c>
      <c r="F5" s="23">
        <f t="shared" si="0"/>
        <v>0.41052631578947368</v>
      </c>
    </row>
    <row r="6" spans="1:6" ht="15.95" customHeight="1">
      <c r="A6" s="43">
        <v>3</v>
      </c>
      <c r="B6" s="9" t="s">
        <v>9</v>
      </c>
      <c r="C6" s="77">
        <v>46</v>
      </c>
      <c r="D6" s="77">
        <v>130</v>
      </c>
      <c r="E6" s="77">
        <v>11</v>
      </c>
      <c r="F6" s="23">
        <f t="shared" si="0"/>
        <v>0.38655462184873951</v>
      </c>
    </row>
    <row r="7" spans="1:6" ht="15.95" customHeight="1">
      <c r="A7" s="43">
        <v>4</v>
      </c>
      <c r="B7" s="9" t="s">
        <v>11</v>
      </c>
      <c r="C7" s="89">
        <v>54</v>
      </c>
      <c r="D7" s="77">
        <v>220</v>
      </c>
      <c r="E7" s="77">
        <v>79</v>
      </c>
      <c r="F7" s="23">
        <f t="shared" si="0"/>
        <v>0.38297872340425532</v>
      </c>
    </row>
    <row r="8" spans="1:6" ht="15.95" customHeight="1">
      <c r="A8" s="43">
        <v>5</v>
      </c>
      <c r="B8" s="9" t="s">
        <v>8</v>
      </c>
      <c r="C8" s="75">
        <f>69+4</f>
        <v>73</v>
      </c>
      <c r="D8" s="75">
        <f>175+100</f>
        <v>275</v>
      </c>
      <c r="E8" s="77">
        <f>10+1</f>
        <v>11</v>
      </c>
      <c r="F8" s="23">
        <f t="shared" si="0"/>
        <v>0.27651515151515149</v>
      </c>
    </row>
    <row r="9" spans="1:6" ht="15.95" customHeight="1">
      <c r="A9" s="43">
        <v>6</v>
      </c>
      <c r="B9" s="9" t="s">
        <v>19</v>
      </c>
      <c r="C9" s="77">
        <v>45</v>
      </c>
      <c r="D9" s="77">
        <v>240</v>
      </c>
      <c r="E9" s="77">
        <v>77</v>
      </c>
      <c r="F9" s="23">
        <f t="shared" si="0"/>
        <v>0.27607361963190186</v>
      </c>
    </row>
    <row r="10" spans="1:6" ht="15.95" customHeight="1">
      <c r="A10" s="43">
        <v>7</v>
      </c>
      <c r="B10" s="9" t="s">
        <v>25</v>
      </c>
      <c r="C10" s="77">
        <f>93+5+7</f>
        <v>105</v>
      </c>
      <c r="D10" s="77">
        <f>330+90+75</f>
        <v>495</v>
      </c>
      <c r="E10" s="77">
        <f>78+9+21</f>
        <v>108</v>
      </c>
      <c r="F10" s="23">
        <f t="shared" si="0"/>
        <v>0.27131782945736432</v>
      </c>
    </row>
    <row r="11" spans="1:6" ht="15.95" customHeight="1">
      <c r="A11" s="43">
        <v>8</v>
      </c>
      <c r="B11" s="9" t="s">
        <v>133</v>
      </c>
      <c r="C11" s="75">
        <v>19</v>
      </c>
      <c r="D11" s="77">
        <v>120</v>
      </c>
      <c r="E11" s="75">
        <v>49</v>
      </c>
      <c r="F11" s="23">
        <f t="shared" si="0"/>
        <v>0.26760563380281688</v>
      </c>
    </row>
    <row r="12" spans="1:6" ht="15.95" customHeight="1">
      <c r="A12" s="43">
        <v>9</v>
      </c>
      <c r="B12" s="9" t="s">
        <v>10</v>
      </c>
      <c r="C12" s="25">
        <f>15+27</f>
        <v>42</v>
      </c>
      <c r="D12" s="84">
        <f>80+90</f>
        <v>170</v>
      </c>
      <c r="E12" s="77">
        <f>3+5</f>
        <v>8</v>
      </c>
      <c r="F12" s="23">
        <f t="shared" si="0"/>
        <v>0.25925925925925924</v>
      </c>
    </row>
    <row r="13" spans="1:6" ht="15.95" customHeight="1">
      <c r="A13" s="43">
        <v>10</v>
      </c>
      <c r="B13" s="9" t="s">
        <v>112</v>
      </c>
      <c r="C13" s="77">
        <v>19</v>
      </c>
      <c r="D13" s="77">
        <v>80</v>
      </c>
      <c r="E13" s="75">
        <v>3</v>
      </c>
      <c r="F13" s="23">
        <f t="shared" si="0"/>
        <v>0.24675324675324675</v>
      </c>
    </row>
    <row r="14" spans="1:6" ht="15.95" customHeight="1">
      <c r="A14" s="43">
        <v>11</v>
      </c>
      <c r="B14" s="9" t="s">
        <v>27</v>
      </c>
      <c r="C14" s="77">
        <v>19</v>
      </c>
      <c r="D14" s="77">
        <v>80</v>
      </c>
      <c r="E14" s="77">
        <v>2</v>
      </c>
      <c r="F14" s="23">
        <f t="shared" si="0"/>
        <v>0.24358974358974358</v>
      </c>
    </row>
    <row r="15" spans="1:6" ht="15.95" customHeight="1">
      <c r="A15" s="43">
        <v>12</v>
      </c>
      <c r="B15" s="9" t="s">
        <v>21</v>
      </c>
      <c r="C15" s="134">
        <v>25</v>
      </c>
      <c r="D15" s="77">
        <v>115</v>
      </c>
      <c r="E15" s="75">
        <v>10</v>
      </c>
      <c r="F15" s="23">
        <f t="shared" si="0"/>
        <v>0.23809523809523808</v>
      </c>
    </row>
    <row r="16" spans="1:6" ht="15.95" customHeight="1">
      <c r="A16" s="43">
        <v>13</v>
      </c>
      <c r="B16" s="3" t="s">
        <v>13</v>
      </c>
      <c r="C16" s="75">
        <v>34</v>
      </c>
      <c r="D16" s="25">
        <v>240</v>
      </c>
      <c r="E16" s="77">
        <v>72</v>
      </c>
      <c r="F16" s="23">
        <f t="shared" si="0"/>
        <v>0.20238095238095238</v>
      </c>
    </row>
    <row r="17" spans="1:6" ht="15.95" customHeight="1">
      <c r="A17" s="43">
        <v>14</v>
      </c>
      <c r="B17" s="9" t="s">
        <v>14</v>
      </c>
      <c r="C17" s="89">
        <f>24+17</f>
        <v>41</v>
      </c>
      <c r="D17" s="77">
        <f>175+150</f>
        <v>325</v>
      </c>
      <c r="E17" s="77">
        <f>43+47</f>
        <v>90</v>
      </c>
      <c r="F17" s="23">
        <f t="shared" si="0"/>
        <v>0.17446808510638298</v>
      </c>
    </row>
    <row r="18" spans="1:6" ht="15.95" customHeight="1">
      <c r="A18" s="43">
        <v>15</v>
      </c>
      <c r="B18" s="9" t="s">
        <v>7</v>
      </c>
      <c r="C18" s="84">
        <v>10</v>
      </c>
      <c r="D18" s="77">
        <f>70+34</f>
        <v>104</v>
      </c>
      <c r="E18" s="76">
        <f>20+11</f>
        <v>31</v>
      </c>
      <c r="F18" s="23">
        <f t="shared" si="0"/>
        <v>0.13698630136986301</v>
      </c>
    </row>
    <row r="19" spans="1:6" ht="15.95" customHeight="1">
      <c r="A19" s="43">
        <v>16</v>
      </c>
      <c r="B19" s="9" t="s">
        <v>4</v>
      </c>
      <c r="C19" s="84">
        <f>17+7</f>
        <v>24</v>
      </c>
      <c r="D19" s="84">
        <f>150+60</f>
        <v>210</v>
      </c>
      <c r="E19" s="76">
        <f>7</f>
        <v>7</v>
      </c>
      <c r="F19" s="23">
        <f t="shared" si="0"/>
        <v>0.11822660098522167</v>
      </c>
    </row>
    <row r="20" spans="1:6" ht="15.95" customHeight="1">
      <c r="A20" s="43">
        <v>17</v>
      </c>
      <c r="B20" s="9" t="s">
        <v>26</v>
      </c>
      <c r="C20" s="77">
        <v>24</v>
      </c>
      <c r="D20" s="77">
        <v>295</v>
      </c>
      <c r="E20" s="77">
        <v>85</v>
      </c>
      <c r="F20" s="23">
        <f t="shared" si="0"/>
        <v>0.11428571428571428</v>
      </c>
    </row>
    <row r="21" spans="1:6" ht="15.95" customHeight="1">
      <c r="A21" s="43">
        <v>18</v>
      </c>
      <c r="B21" s="107" t="s">
        <v>22</v>
      </c>
      <c r="C21" s="77">
        <v>4</v>
      </c>
      <c r="D21" s="77">
        <v>40</v>
      </c>
      <c r="E21" s="77">
        <v>0</v>
      </c>
      <c r="F21" s="23">
        <f t="shared" si="0"/>
        <v>0.1</v>
      </c>
    </row>
    <row r="22" spans="1:6" ht="15.95" customHeight="1">
      <c r="A22" s="43">
        <v>19</v>
      </c>
      <c r="B22" s="3" t="s">
        <v>20</v>
      </c>
      <c r="C22" s="77">
        <v>6</v>
      </c>
      <c r="D22" s="84">
        <v>108</v>
      </c>
      <c r="E22" s="77">
        <v>40</v>
      </c>
      <c r="F22" s="23">
        <f t="shared" si="0"/>
        <v>8.8235294117647065E-2</v>
      </c>
    </row>
    <row r="23" spans="1:6" ht="15.95" customHeight="1">
      <c r="A23" s="43">
        <v>20</v>
      </c>
      <c r="B23" s="9" t="s">
        <v>12</v>
      </c>
      <c r="C23" s="77">
        <v>9</v>
      </c>
      <c r="D23" s="77">
        <v>160</v>
      </c>
      <c r="E23" s="77">
        <v>55</v>
      </c>
      <c r="F23" s="23">
        <f t="shared" si="0"/>
        <v>8.5714285714285715E-2</v>
      </c>
    </row>
    <row r="24" spans="1:6" ht="15.95" customHeight="1">
      <c r="A24" s="43">
        <v>21</v>
      </c>
      <c r="B24" s="3" t="s">
        <v>29</v>
      </c>
      <c r="C24" s="77">
        <v>4</v>
      </c>
      <c r="D24" s="77">
        <v>108</v>
      </c>
      <c r="E24" s="77">
        <v>41</v>
      </c>
      <c r="F24" s="23">
        <f t="shared" si="0"/>
        <v>5.9701492537313432E-2</v>
      </c>
    </row>
    <row r="25" spans="1:6" ht="15.95" customHeight="1">
      <c r="A25" s="43">
        <v>22</v>
      </c>
      <c r="B25" s="3" t="s">
        <v>15</v>
      </c>
      <c r="C25" s="89">
        <v>8</v>
      </c>
      <c r="D25" s="77">
        <v>170</v>
      </c>
      <c r="E25" s="77">
        <v>23</v>
      </c>
      <c r="F25" s="23">
        <f t="shared" si="0"/>
        <v>5.4421768707482991E-2</v>
      </c>
    </row>
    <row r="26" spans="1:6" ht="15.95" customHeight="1">
      <c r="A26" s="43">
        <v>23</v>
      </c>
      <c r="B26" s="3" t="s">
        <v>5</v>
      </c>
      <c r="C26" s="75">
        <v>4</v>
      </c>
      <c r="D26" s="77">
        <v>170</v>
      </c>
      <c r="E26" s="77">
        <v>26</v>
      </c>
      <c r="F26" s="23">
        <f t="shared" si="0"/>
        <v>2.7777777777777776E-2</v>
      </c>
    </row>
    <row r="27" spans="1:6" ht="15.95" customHeight="1">
      <c r="A27" s="43">
        <v>24</v>
      </c>
      <c r="B27" s="3" t="s">
        <v>24</v>
      </c>
      <c r="C27" s="77">
        <v>1</v>
      </c>
      <c r="D27" s="77">
        <f>90+50</f>
        <v>140</v>
      </c>
      <c r="E27" s="77">
        <v>23</v>
      </c>
      <c r="F27" s="23">
        <f t="shared" si="0"/>
        <v>8.5470085470085479E-3</v>
      </c>
    </row>
    <row r="28" spans="1:6" ht="15.95" customHeight="1">
      <c r="A28" s="43">
        <v>25</v>
      </c>
      <c r="B28" s="3" t="s">
        <v>31</v>
      </c>
      <c r="C28" s="77">
        <v>0</v>
      </c>
      <c r="D28" s="84">
        <v>100</v>
      </c>
      <c r="E28" s="75">
        <v>57</v>
      </c>
      <c r="F28" s="23">
        <f t="shared" si="0"/>
        <v>0</v>
      </c>
    </row>
    <row r="29" spans="1:6" ht="15.75">
      <c r="B29" s="19" t="s">
        <v>49</v>
      </c>
      <c r="C29" s="99">
        <f>SUM(C4:C28)</f>
        <v>694</v>
      </c>
      <c r="D29" s="99">
        <f>SUM(D4:D28)</f>
        <v>4335</v>
      </c>
      <c r="E29" s="99">
        <f>SUM(E4:E28)</f>
        <v>959</v>
      </c>
      <c r="F29" s="15"/>
    </row>
    <row r="30" spans="1:6" ht="59.25" customHeight="1">
      <c r="A30" s="37"/>
      <c r="B30" s="72" t="s">
        <v>129</v>
      </c>
      <c r="C30" s="42"/>
      <c r="D30" s="42"/>
      <c r="E30" s="42"/>
      <c r="F30" s="37"/>
    </row>
    <row r="31" spans="1:6" ht="153.75" customHeight="1">
      <c r="A31" s="43" t="s">
        <v>99</v>
      </c>
      <c r="B31" s="57" t="s">
        <v>41</v>
      </c>
      <c r="C31" s="57" t="s">
        <v>86</v>
      </c>
      <c r="D31" s="57" t="s">
        <v>87</v>
      </c>
      <c r="E31" s="57" t="s">
        <v>88</v>
      </c>
      <c r="F31" s="57" t="s">
        <v>89</v>
      </c>
    </row>
    <row r="32" spans="1:6" ht="30.75" customHeight="1">
      <c r="A32" s="43">
        <v>1</v>
      </c>
      <c r="B32" s="3" t="s">
        <v>36</v>
      </c>
      <c r="C32" s="25">
        <v>243</v>
      </c>
      <c r="D32" s="25">
        <v>1095</v>
      </c>
      <c r="E32" s="25">
        <v>309</v>
      </c>
      <c r="F32" s="23">
        <f>C32/(D32-E32)</f>
        <v>0.30916030534351147</v>
      </c>
    </row>
    <row r="33" spans="1:6" ht="21.75" customHeight="1">
      <c r="A33" s="43">
        <v>2</v>
      </c>
      <c r="B33" s="3" t="s">
        <v>33</v>
      </c>
      <c r="C33" s="25">
        <v>266</v>
      </c>
      <c r="D33" s="25">
        <v>1085</v>
      </c>
      <c r="E33" s="25">
        <v>48</v>
      </c>
      <c r="F33" s="23">
        <f>C33/(D33-E33)</f>
        <v>0.25650916104146576</v>
      </c>
    </row>
    <row r="34" spans="1:6" ht="15.75">
      <c r="A34" s="43">
        <v>3</v>
      </c>
      <c r="B34" s="3" t="s">
        <v>34</v>
      </c>
      <c r="C34" s="25">
        <v>123</v>
      </c>
      <c r="D34" s="25">
        <v>1165</v>
      </c>
      <c r="E34" s="25">
        <v>378</v>
      </c>
      <c r="F34" s="23">
        <f>C34/(D34-E34)</f>
        <v>0.15628970775095299</v>
      </c>
    </row>
    <row r="35" spans="1:6" ht="31.5">
      <c r="A35" s="43">
        <v>4</v>
      </c>
      <c r="B35" s="3" t="s">
        <v>35</v>
      </c>
      <c r="C35" s="25">
        <v>62</v>
      </c>
      <c r="D35" s="25">
        <v>990</v>
      </c>
      <c r="E35" s="25">
        <v>224</v>
      </c>
      <c r="F35" s="23">
        <f>C35/(D35-E35)</f>
        <v>8.0939947780678853E-2</v>
      </c>
    </row>
    <row r="36" spans="1:6" ht="15.75">
      <c r="B36" s="19" t="s">
        <v>49</v>
      </c>
      <c r="C36" s="31">
        <f>SUM(C32:C35)</f>
        <v>694</v>
      </c>
      <c r="D36" s="31">
        <f>SUM(D32:D35)</f>
        <v>4335</v>
      </c>
      <c r="E36" s="31">
        <f>SUM(E32:E35)</f>
        <v>959</v>
      </c>
      <c r="F36" s="15"/>
    </row>
    <row r="38" spans="1:6" ht="15.75">
      <c r="C38" s="5"/>
    </row>
  </sheetData>
  <sortState ref="B32:F35">
    <sortCondition descending="1" ref="F32:F35"/>
  </sortState>
  <phoneticPr fontId="5" type="noConversion"/>
  <pageMargins left="0.41" right="0.14000000000000001" top="0.26" bottom="0.27" header="0.2" footer="0.2"/>
  <pageSetup paperSize="9" scale="90" orientation="landscape" r:id="rId1"/>
  <headerFooter alignWithMargins="0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РЕЙТИНГ КАФ ТА ФАК</vt:lpstr>
      <vt:lpstr>РЕЙТИНГ ПОРІВНЯЛЬНИЙ</vt:lpstr>
      <vt:lpstr>2.1. Інд. ефект.видавн. діял.</vt:lpstr>
      <vt:lpstr>2.2. Інд.якості НПП</vt:lpstr>
      <vt:lpstr>2.3.Якість осв пр</vt:lpstr>
      <vt:lpstr>2.3.1 І як.освіт.проц. </vt:lpstr>
      <vt:lpstr>2.3.2 І д.з.</vt:lpstr>
      <vt:lpstr>2.3.3. І студ.</vt:lpstr>
      <vt:lpstr>2.3.4. І пл.</vt:lpstr>
      <vt:lpstr>2.3.5. І я.п.ф.</vt:lpstr>
      <vt:lpstr>2.4. І як.наукової роботи</vt:lpstr>
      <vt:lpstr>2.5. І. між.ак.</vt:lpstr>
      <vt:lpstr>2.6.-2.6.1. І фін.активність</vt:lpstr>
      <vt:lpstr>2.6.2. І фін наук діяльності</vt:lpstr>
      <vt:lpstr>2.7. І вебометричних показн.</vt:lpstr>
      <vt:lpstr>2.8. І к-м.спорт роб.</vt:lpstr>
      <vt:lpstr>'2.7. І вебометричних показн.'!_GoBack</vt:lpstr>
      <vt:lpstr>'2.3.1 І як.освіт.проц. '!Область_печати</vt:lpstr>
      <vt:lpstr>'2.3.2 І д.з.'!Область_печати</vt:lpstr>
      <vt:lpstr>'2.3.3. І студ.'!Область_печати</vt:lpstr>
      <vt:lpstr>'2.3.4. І пл.'!Область_печати</vt:lpstr>
      <vt:lpstr>'РЕЙТИНГ КАФ ТА ФАК'!Область_печати</vt:lpstr>
      <vt:lpstr>'РЕЙТИНГ ПОРІВНЯЛЬНИЙ'!Область_печати</vt:lpstr>
    </vt:vector>
  </TitlesOfParts>
  <Company>TSTU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v_Kadriv</dc:creator>
  <cp:lastModifiedBy>user</cp:lastModifiedBy>
  <cp:lastPrinted>2022-02-18T09:49:14Z</cp:lastPrinted>
  <dcterms:created xsi:type="dcterms:W3CDTF">2019-01-03T11:25:59Z</dcterms:created>
  <dcterms:modified xsi:type="dcterms:W3CDTF">2022-02-21T11:20:07Z</dcterms:modified>
</cp:coreProperties>
</file>